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<sst xmlns="http://schemas.openxmlformats.org/spreadsheetml/2006/main" count="6770" uniqueCount="2107">
  <si>
    <t>var_name</t>
  </si>
  <si>
    <t>var_label</t>
  </si>
  <si>
    <t>var_label_en</t>
  </si>
  <si>
    <t>value_0_en</t>
  </si>
  <si>
    <t>value_1_en</t>
  </si>
  <si>
    <t>value_2_en</t>
  </si>
  <si>
    <t>value_3_en</t>
  </si>
  <si>
    <t>value_4_en</t>
  </si>
  <si>
    <t>value_5_en</t>
  </si>
  <si>
    <t>value_6_en</t>
  </si>
  <si>
    <t>value_7_en</t>
  </si>
  <si>
    <t>value_8_en</t>
  </si>
  <si>
    <t>value_9_en</t>
  </si>
  <si>
    <t>value_10_en</t>
  </si>
  <si>
    <t>value_0</t>
  </si>
  <si>
    <t>value_1</t>
  </si>
  <si>
    <t>value_2</t>
  </si>
  <si>
    <t>value_3</t>
  </si>
  <si>
    <t>value_8</t>
  </si>
  <si>
    <t>value_9</t>
  </si>
  <si>
    <t>value_4</t>
  </si>
  <si>
    <t>value_5</t>
  </si>
  <si>
    <t>value_6</t>
  </si>
  <si>
    <t>value_7</t>
  </si>
  <si>
    <t>value_10</t>
  </si>
  <si>
    <t>value_97</t>
  </si>
  <si>
    <t>value_98</t>
  </si>
  <si>
    <t>value_99</t>
  </si>
  <si>
    <t>value_95</t>
  </si>
  <si>
    <t>value_96</t>
  </si>
  <si>
    <t>value_90</t>
  </si>
  <si>
    <t>value_888</t>
  </si>
  <si>
    <t>value_999</t>
  </si>
  <si>
    <t>value_11</t>
  </si>
  <si>
    <t>value_12</t>
  </si>
  <si>
    <t>value_13</t>
  </si>
  <si>
    <t>value_14</t>
  </si>
  <si>
    <t>value_15</t>
  </si>
  <si>
    <t>value_16</t>
  </si>
  <si>
    <t>value_17</t>
  </si>
  <si>
    <t>value_18</t>
  </si>
  <si>
    <t>value_19</t>
  </si>
  <si>
    <t>value_20</t>
  </si>
  <si>
    <t>value_21</t>
  </si>
  <si>
    <t>value_22</t>
  </si>
  <si>
    <t>value_23</t>
  </si>
  <si>
    <t>value_24</t>
  </si>
  <si>
    <t>value_25</t>
  </si>
  <si>
    <t>value_26</t>
  </si>
  <si>
    <t>value_27</t>
  </si>
  <si>
    <t>value_28</t>
  </si>
  <si>
    <t>value_29</t>
  </si>
  <si>
    <t>value_30</t>
  </si>
  <si>
    <t>value_31</t>
  </si>
  <si>
    <t>value_32</t>
  </si>
  <si>
    <t>value_33</t>
  </si>
  <si>
    <t>value_34</t>
  </si>
  <si>
    <t>value_35</t>
  </si>
  <si>
    <t>value_36</t>
  </si>
  <si>
    <t>value_37</t>
  </si>
  <si>
    <t>value_38</t>
  </si>
  <si>
    <t>value_39</t>
  </si>
  <si>
    <t>value_40</t>
  </si>
  <si>
    <t>value_51</t>
  </si>
  <si>
    <t>value_52</t>
  </si>
  <si>
    <t>value_1.5</t>
  </si>
  <si>
    <t>value_94</t>
  </si>
  <si>
    <t>value_88</t>
  </si>
  <si>
    <t>BARCODE</t>
  </si>
  <si>
    <t>Cod de bare (ID UNIC)</t>
  </si>
  <si>
    <t>PSU</t>
  </si>
  <si>
    <t>Codul dosarului</t>
  </si>
  <si>
    <t>NRCHEST</t>
  </si>
  <si>
    <t>Numar chestionar in interiorul dosarului</t>
  </si>
  <si>
    <t>PW2</t>
  </si>
  <si>
    <t>A participat in valul 2</t>
  </si>
  <si>
    <t>nu</t>
  </si>
  <si>
    <t>da</t>
  </si>
  <si>
    <t>PW3</t>
  </si>
  <si>
    <t>A participat in valul 3</t>
  </si>
  <si>
    <t>PANEL2009</t>
  </si>
  <si>
    <t>Statutul respondentului in panel</t>
  </si>
  <si>
    <t>a participat doar la valul 1</t>
  </si>
  <si>
    <t>a participat la toate cele 3 valuri</t>
  </si>
  <si>
    <t>a participat doar la valul 1 si 2</t>
  </si>
  <si>
    <t>a participat doar la valul 1 si 3</t>
  </si>
  <si>
    <t>TIPQQ</t>
  </si>
  <si>
    <t>Tip Chestionar</t>
  </si>
  <si>
    <t>Varianta A</t>
  </si>
  <si>
    <t>Varianta B</t>
  </si>
  <si>
    <t>ESANT</t>
  </si>
  <si>
    <t>Acest respondent face parte din...</t>
  </si>
  <si>
    <t>Esantionul de baza (primii 8 selectati)</t>
  </si>
  <si>
    <t>Esantionul de rezerve</t>
  </si>
  <si>
    <t>SEL</t>
  </si>
  <si>
    <t>Selectia acestui subiect a fost facuta...</t>
  </si>
  <si>
    <t>din listele electorale</t>
  </si>
  <si>
    <t>din alte liste, in afara de cele electorale</t>
  </si>
  <si>
    <t>prin metoda drumului aleator</t>
  </si>
  <si>
    <t>D1</t>
  </si>
  <si>
    <t>Credeti ca in tara noastra lucrurile merg intr-o directie buna sau intr-o directie gresita?</t>
  </si>
  <si>
    <t>directia este buna</t>
  </si>
  <si>
    <t>directia este gresita</t>
  </si>
  <si>
    <t>NS</t>
  </si>
  <si>
    <t>NR</t>
  </si>
  <si>
    <t>D2</t>
  </si>
  <si>
    <t>Cat de multumit(a) sunteti in general de felul in care traiti?</t>
  </si>
  <si>
    <t>Deloc multumit</t>
  </si>
  <si>
    <t>Nu prea multumit</t>
  </si>
  <si>
    <t>Destul de multumit</t>
  </si>
  <si>
    <t>Foarte multumit</t>
  </si>
  <si>
    <t>D3</t>
  </si>
  <si>
    <t>Cum este viata dvs. in prezent comparativ cu cea de acum un an?</t>
  </si>
  <si>
    <t>Mult mai buna</t>
  </si>
  <si>
    <t>Mai buna</t>
  </si>
  <si>
    <t>Aproximativ la fel</t>
  </si>
  <si>
    <t>Mai proasta</t>
  </si>
  <si>
    <t>Mult mai proasta</t>
  </si>
  <si>
    <t>D4</t>
  </si>
  <si>
    <t>Cum credeti ca veti trai peste un an?</t>
  </si>
  <si>
    <t>Mult mai bine</t>
  </si>
  <si>
    <t>Mai bine</t>
  </si>
  <si>
    <t>Mai prost</t>
  </si>
  <si>
    <t>Mult mai prost</t>
  </si>
  <si>
    <t>D5I1</t>
  </si>
  <si>
    <t>Credeti ca in acest an, in Romania, ... a / au crescut, a / au scazut sau a / au ramas la fel? somajul</t>
  </si>
  <si>
    <t>a / au scazut mult</t>
  </si>
  <si>
    <t>a / au scazut putin</t>
  </si>
  <si>
    <t>a / au ramas cam la fel</t>
  </si>
  <si>
    <t>a / au crescut putin</t>
  </si>
  <si>
    <t>a / au crescut mult</t>
  </si>
  <si>
    <t>D5I2</t>
  </si>
  <si>
    <t>... preturile</t>
  </si>
  <si>
    <t>D5I3</t>
  </si>
  <si>
    <t>... veniturile oamenilor</t>
  </si>
  <si>
    <t>D6IA</t>
  </si>
  <si>
    <t>Comparativ cu anul 2004, credeti ca in prezent  economia Romaniei ...merge mai bine, mai rau sau la fel? Mult mai bine / rau sau doar mai bine / rau?</t>
  </si>
  <si>
    <t>Mult mai bine / buna</t>
  </si>
  <si>
    <t>Mai bine/ buna</t>
  </si>
  <si>
    <t>Mai rau / rea</t>
  </si>
  <si>
    <t>Mult mai rau / rea</t>
  </si>
  <si>
    <t>D6IB</t>
  </si>
  <si>
    <t>Dar economia localitatii dvs. ...? (in prezent, comparativ cu 2004)</t>
  </si>
  <si>
    <t>D6IC</t>
  </si>
  <si>
    <t>Comparativ cu anul 2004, in prezent situatia dvs. economica ...este mai buna, mai rea sau la fel?</t>
  </si>
  <si>
    <t>D6ID</t>
  </si>
  <si>
    <t>in urmatorii 5 ani, credeti ca economia Romaniei ...va merge mai bine, mai rau sau la fel?</t>
  </si>
  <si>
    <t>D6IE</t>
  </si>
  <si>
    <t>Dar economia localitatii dvs. ...? (in urmatorii 5 ani)</t>
  </si>
  <si>
    <t>D6IF</t>
  </si>
  <si>
    <t>in urmatorii 5 ani, credeti ca situatia dvs. economica ...va fi mai buna, mai rea sau la fel?</t>
  </si>
  <si>
    <t>D7</t>
  </si>
  <si>
    <t>Comparativ cu anul 2004, credeti ca in prezent in Romania CORUPtIA este mai mare, mai mica sau a ramas la fel? (DACA MAI MARE / MICA): Este mult mai mica / mare sau doar mai mica / mare?</t>
  </si>
  <si>
    <t>mult mai mare</t>
  </si>
  <si>
    <t>mai mare</t>
  </si>
  <si>
    <t>a ramas cam la fel</t>
  </si>
  <si>
    <t>mai mica</t>
  </si>
  <si>
    <t>mult mai mica</t>
  </si>
  <si>
    <t>D8</t>
  </si>
  <si>
    <t>in urmatorii 5 ani, credeti ca in Romania CORUPtIA va creste, scadea sau va ramane cam la fel? (DACA VA CREStE / VA SCADEA): Va creste / scadea mult sau putin?</t>
  </si>
  <si>
    <t>va scadea mult</t>
  </si>
  <si>
    <t>va scadea putin</t>
  </si>
  <si>
    <t>va ramâne cam la fel</t>
  </si>
  <si>
    <t>va creste putin</t>
  </si>
  <si>
    <t>va creste mult</t>
  </si>
  <si>
    <t>D9I1</t>
  </si>
  <si>
    <t>Pe o scala de la 0 la 10, unde 0 inseamna FOARtE NEMULtUMIt iar 10 FOARtE MULtUMIt cat de nemultumit sau multumit sunteti de ...? viata dvs. in general</t>
  </si>
  <si>
    <t>Foarte nemultumit</t>
  </si>
  <si>
    <t>1</t>
  </si>
  <si>
    <t>2</t>
  </si>
  <si>
    <t>3</t>
  </si>
  <si>
    <t>8</t>
  </si>
  <si>
    <t>9</t>
  </si>
  <si>
    <t>4</t>
  </si>
  <si>
    <t>5</t>
  </si>
  <si>
    <t>6</t>
  </si>
  <si>
    <t>7</t>
  </si>
  <si>
    <t>NC</t>
  </si>
  <si>
    <t>D9I2</t>
  </si>
  <si>
    <t>educatia dvs.</t>
  </si>
  <si>
    <t>D9I3</t>
  </si>
  <si>
    <t>locul dvs. de munca</t>
  </si>
  <si>
    <t>D9I4</t>
  </si>
  <si>
    <t>nivelul dvs. de trai</t>
  </si>
  <si>
    <t>D9I5</t>
  </si>
  <si>
    <t>conditiile de locuit</t>
  </si>
  <si>
    <t>D9I6</t>
  </si>
  <si>
    <t>viata de familie</t>
  </si>
  <si>
    <t>D9I7</t>
  </si>
  <si>
    <t>sanatatea dvs.</t>
  </si>
  <si>
    <t>D9I8</t>
  </si>
  <si>
    <t>viata dvs. sociala (cum va petreceti timpul liber)</t>
  </si>
  <si>
    <t>D9I9</t>
  </si>
  <si>
    <t>viata politica din tara</t>
  </si>
  <si>
    <t>D10</t>
  </si>
  <si>
    <t>in general, cat de multumit sunteti de modul in care functioneaza democratia in Romania?</t>
  </si>
  <si>
    <t>X</t>
  </si>
  <si>
    <t>Stiti cumva ce eveniment are loc in Romania luna aceasta pe 22, adica duminica / nu duminica asta, cealalta?</t>
  </si>
  <si>
    <t>Alegerile prezidentiale</t>
  </si>
  <si>
    <t>Referendumul</t>
  </si>
  <si>
    <t>Ambele</t>
  </si>
  <si>
    <t>D11</t>
  </si>
  <si>
    <t>Care credeti ca este cea mai importanta problema cu care se confrunta Romania in prezent?</t>
  </si>
  <si>
    <t>D11A</t>
  </si>
  <si>
    <t>Care dintre partidele politice credeti ca ar fi capabil sa gestioneze cel mai bine aceasta problema?</t>
  </si>
  <si>
    <t>Partidul National Liberal (PNL)</t>
  </si>
  <si>
    <t>Partidul Social Democrat (PSD)</t>
  </si>
  <si>
    <t>Partidul Democrat Liberal (PD-L)</t>
  </si>
  <si>
    <t>Alt partid. Care?</t>
  </si>
  <si>
    <t>Nici unul</t>
  </si>
  <si>
    <t>Uniunea Democrata a Maghiarilor din România (UDMR)</t>
  </si>
  <si>
    <t>Partidul Noua Generatie - Crestin Democrat (PNG-CD)</t>
  </si>
  <si>
    <t>Partidul România Mare (PRM)</t>
  </si>
  <si>
    <t>Partidul Conservator (PC)</t>
  </si>
  <si>
    <t>Nu stiu</t>
  </si>
  <si>
    <t>Nu raspund</t>
  </si>
  <si>
    <t>D11AOTH</t>
  </si>
  <si>
    <t>D11B</t>
  </si>
  <si>
    <t>Care dintre candidatii pentru Presedinte credeti ca ar fi capabil sa gestioneze cel mai bine aceasta problema?</t>
  </si>
  <si>
    <t>Mircea Geoana</t>
  </si>
  <si>
    <t>Crin Antonescu</t>
  </si>
  <si>
    <t>Traian Basescu</t>
  </si>
  <si>
    <t>Alt candidat. Care?</t>
  </si>
  <si>
    <t>Sorin Oprescu</t>
  </si>
  <si>
    <t>Corneliu Vadim Tudor</t>
  </si>
  <si>
    <t>Kelemen Hunor</t>
  </si>
  <si>
    <t>George Becali</t>
  </si>
  <si>
    <t>D11BOTH</t>
  </si>
  <si>
    <t>D11C</t>
  </si>
  <si>
    <t>Care dintre oamenii politici propusi pentru functia de Prim-Ministru credeti ca ar fi capabil sa gestioneze cel mai bine aceasta problema?</t>
  </si>
  <si>
    <t>Emil Boc</t>
  </si>
  <si>
    <t>Klaus Iohannis</t>
  </si>
  <si>
    <t>Lucian Croitoru</t>
  </si>
  <si>
    <t>Altcineva. Cine?</t>
  </si>
  <si>
    <t>Liviu Negoita</t>
  </si>
  <si>
    <t>D11COTH</t>
  </si>
  <si>
    <t>D12I1</t>
  </si>
  <si>
    <t>Pe o scala de la 0 la 10, unde 0 inseamna „FOARTE PROAStA” iar 10 „FOARTE BUNA” cum apreciati activitatea guvernului ...? Dar activitatea guvernului ...? Nastase</t>
  </si>
  <si>
    <t>Foarte proasta</t>
  </si>
  <si>
    <t>Foarte buna</t>
  </si>
  <si>
    <t>Nu il cunosc</t>
  </si>
  <si>
    <t>D12I2</t>
  </si>
  <si>
    <t>tariceanu</t>
  </si>
  <si>
    <t>D12I3</t>
  </si>
  <si>
    <t>Boc</t>
  </si>
  <si>
    <t>D13I1</t>
  </si>
  <si>
    <t>Pe o scala de la 0 la 10, unde 0 inseamna „FOARTE PROAStA” iar 10 „FOARTE BUNA” cum apreciati activitatea lui ... in calitate de presedinte al Romaniei? Dar activitatea lui ...? Ion Iliescu</t>
  </si>
  <si>
    <t>D13I2</t>
  </si>
  <si>
    <t>Emil Constantinescu</t>
  </si>
  <si>
    <t>D13I3</t>
  </si>
  <si>
    <t>D13I4</t>
  </si>
  <si>
    <t>Nicolae Ceausescu</t>
  </si>
  <si>
    <t>C1IA</t>
  </si>
  <si>
    <t>Cat de interesat sunteti de ...? ... politica, in general</t>
  </si>
  <si>
    <t>Deloc interesat</t>
  </si>
  <si>
    <t>Putin interesat</t>
  </si>
  <si>
    <t>Destul de interesat</t>
  </si>
  <si>
    <t>Foarte interesat</t>
  </si>
  <si>
    <t>C1IB</t>
  </si>
  <si>
    <t>... politica la nivel local, din localitatea dvs.</t>
  </si>
  <si>
    <t>C1IC</t>
  </si>
  <si>
    <t>... politica la nivel national, din Romania</t>
  </si>
  <si>
    <t>C1ID</t>
  </si>
  <si>
    <t>... politica la nivel european, din UE</t>
  </si>
  <si>
    <t>C1IE</t>
  </si>
  <si>
    <t>... Alegerile Prezidentiale din 22 noiembrie 2009</t>
  </si>
  <si>
    <t>C1IF</t>
  </si>
  <si>
    <t>... referendumul din 22 noiembrie 2009</t>
  </si>
  <si>
    <t>C2IA</t>
  </si>
  <si>
    <t>Din cate stiti dvs., urmatoarele afirmatii cu privire la functia de Presedinte al Romaniei sunt adevarate sau false? Presedintele Romaniei este ales pentru o perioada de 4 ani</t>
  </si>
  <si>
    <t>Adevarat</t>
  </si>
  <si>
    <t>Fals</t>
  </si>
  <si>
    <t>C2IB</t>
  </si>
  <si>
    <t>O persoana poate fi presedinte al Romaniei doar doua mandate</t>
  </si>
  <si>
    <t>C2IC</t>
  </si>
  <si>
    <t>Conform Constitutiei, ministrii dintr-un Guvern sunt alesi de Presedinte</t>
  </si>
  <si>
    <t>C2ID</t>
  </si>
  <si>
    <t>Unul dintre rolurile Presedintelui este de a reprezenta Romania in relatiile externe</t>
  </si>
  <si>
    <t>C2IE</t>
  </si>
  <si>
    <t>in anumite conditii, Presedintele are dreptul sa dizolve Parlamentul</t>
  </si>
  <si>
    <t>C3</t>
  </si>
  <si>
    <t>intr-o saptamana obisnuita in cate dintre cele sapte zile obisnuiti sa va uitati la stiri la televizor (inclusiv pe Internet)?</t>
  </si>
  <si>
    <t>Niciodata</t>
  </si>
  <si>
    <t>1 zi</t>
  </si>
  <si>
    <t>2 zile</t>
  </si>
  <si>
    <t>3 zile</t>
  </si>
  <si>
    <t>4 zile</t>
  </si>
  <si>
    <t>5 zile</t>
  </si>
  <si>
    <t>6 zile</t>
  </si>
  <si>
    <t>7 zile</t>
  </si>
  <si>
    <t>C3C</t>
  </si>
  <si>
    <t>La ce post tV va uitati cel mai des la stiri?</t>
  </si>
  <si>
    <t>C4</t>
  </si>
  <si>
    <t>intr-o saptamana obisnuita in cate dintre cele sapte zile obisnuiti sa ascultati stiri la radio (inclusiv pe Internet)?</t>
  </si>
  <si>
    <t>C4C</t>
  </si>
  <si>
    <t>La ce post de radio ascultati cel mai des stiri?</t>
  </si>
  <si>
    <t>C5</t>
  </si>
  <si>
    <t>intr-o saptamana obisnuita in cate dintre cele sapte zile ale unei saptamani obisnuiti sa cititi un ziar, tiparit sau pe Internet?</t>
  </si>
  <si>
    <t>C5C</t>
  </si>
  <si>
    <t>Ce ziar cititi cel mai des?</t>
  </si>
  <si>
    <t>C6</t>
  </si>
  <si>
    <t>in cate dintre cele sapte zile ale unei saptamani obisnuiti sa discutati cu cineva despre situatia din tara?</t>
  </si>
  <si>
    <t>C7AI1</t>
  </si>
  <si>
    <t>Pe 22 noiembrie 2009 in Romania vor avea loc Alegeri Prezidentiale si Referendum. Daca 0 reprezinta o persoana care „FOARtE SIGUR NU VA VOtA” iar 10 o persoana care „FOARtE SIGUR VA VOtA” la ..., pe aceasta scala unde v-ati afla dvs.? alegerile preziden?ia</t>
  </si>
  <si>
    <t>Foarte sigur nu votez</t>
  </si>
  <si>
    <t>Foarte sigur votez</t>
  </si>
  <si>
    <t>C7AI2</t>
  </si>
  <si>
    <t>referendum</t>
  </si>
  <si>
    <t>C7BI1</t>
  </si>
  <si>
    <t>Pe 22 noiembrie 2009 în România vor avea loc Alegeri Prezidentiale si Referendum. Din diferite motive, foarte probabil doar jumatate dintre alegatori vor merge la vot. Daca 0 reprezinta o persoana care „FOARTE SIGUR NU VA VOTA” iar 10 o persoana care „FOAR</t>
  </si>
  <si>
    <t>C7BI2</t>
  </si>
  <si>
    <t>L1I1</t>
  </si>
  <si>
    <t>Pe o scala de la 0 la 10, unde 0 inseamna „nu imi place deloc” si 10 „imi place foarte mult” cat de mult va place de ...? Mircea Geoana</t>
  </si>
  <si>
    <t>Nu imi place deloc</t>
  </si>
  <si>
    <t>Imi place foarte mult</t>
  </si>
  <si>
    <t>Nu il/o cunosc</t>
  </si>
  <si>
    <t>L1I2</t>
  </si>
  <si>
    <t>L1I3</t>
  </si>
  <si>
    <t>L1I4</t>
  </si>
  <si>
    <t>L1I5</t>
  </si>
  <si>
    <t>Corneliu Vadim tudor</t>
  </si>
  <si>
    <t>L1I6</t>
  </si>
  <si>
    <t>L1I7</t>
  </si>
  <si>
    <t>L1I8</t>
  </si>
  <si>
    <t>Constantin Cristea</t>
  </si>
  <si>
    <t>L2AI1</t>
  </si>
  <si>
    <t>Ce va place cel mai mult in legatura cu... ? Mircea Geoana</t>
  </si>
  <si>
    <t>L2BI1</t>
  </si>
  <si>
    <t>Ce nu va place cel mai mult in legatura cu... ? Mircea Geoana</t>
  </si>
  <si>
    <t>L2AI2</t>
  </si>
  <si>
    <t>Ce va place cel mai mult in legatura cu... ? Crin Antonescu</t>
  </si>
  <si>
    <t>L2BI2</t>
  </si>
  <si>
    <t>Ce nu va place cel mai mult in legatura cu... ? Crin Antonescu</t>
  </si>
  <si>
    <t>L2AI3</t>
  </si>
  <si>
    <t>Ce va place cel mai mult in legatura cu... ? Traian Basescu</t>
  </si>
  <si>
    <t>L2BI3</t>
  </si>
  <si>
    <t>Ce nu va place cel mai mult in legatura cu... ? Traian Basescu</t>
  </si>
  <si>
    <t>L2AI4</t>
  </si>
  <si>
    <t>Ce va place cel mai mult in legatura cu... ? Sorin Oprescu</t>
  </si>
  <si>
    <t>L2BI4</t>
  </si>
  <si>
    <t>Ce nu va place cel mai mult in legatura cu... ? Sorin Oprescu</t>
  </si>
  <si>
    <t>L3I1</t>
  </si>
  <si>
    <t>Pe o scala de la 0 la 10, unde 0 inseamna „LIPSIT DE IMPORTANTA” si 10 „EXTREM DE IMPORTANT”, va rog sa apreciati cat este de important ca viitorul presedinte al Romaniei sa aiba fiecare dintre aceste caracteristici: Sa fie cinstit</t>
  </si>
  <si>
    <t>Lipsit de importanta</t>
  </si>
  <si>
    <t>Extrem de important</t>
  </si>
  <si>
    <t>L3I2</t>
  </si>
  <si>
    <t>Sa fie cult si educat</t>
  </si>
  <si>
    <t>L3I3</t>
  </si>
  <si>
    <t>Sa fie apropiat de oameni</t>
  </si>
  <si>
    <t>L3I4</t>
  </si>
  <si>
    <t>Sa respecte intotdeauna promisiunile pe care le face</t>
  </si>
  <si>
    <t>L3I5</t>
  </si>
  <si>
    <t>Sa fie competent</t>
  </si>
  <si>
    <t>L3I6</t>
  </si>
  <si>
    <t>Sa fie hotarat si ferm</t>
  </si>
  <si>
    <t>L3I7</t>
  </si>
  <si>
    <t>Sa dezvolte relatii bune cu celelalte tari</t>
  </si>
  <si>
    <t>L3I8</t>
  </si>
  <si>
    <t>Sa stie sa ii conduca pe oamenii cu care lucreaza</t>
  </si>
  <si>
    <t>L3I9</t>
  </si>
  <si>
    <t>Sa nu fie conflictual / certaret</t>
  </si>
  <si>
    <t>L4A1</t>
  </si>
  <si>
    <t>Pe o scala de la 0 la 10, in care 0 inseamna „DELOC” si 10 „IN TOTALITATE”, in ce masura sunteti de acord cu afirmatiile urmatoare. Mircea Geona este un om cinstit.</t>
  </si>
  <si>
    <t>Deloc</t>
  </si>
  <si>
    <t>In totalitate</t>
  </si>
  <si>
    <t>L4A2</t>
  </si>
  <si>
    <t>Crin Antonescu este un om cinstit</t>
  </si>
  <si>
    <t>L4A3</t>
  </si>
  <si>
    <t>Traian Basescu este un om cinstit</t>
  </si>
  <si>
    <t>L4B1</t>
  </si>
  <si>
    <t>Mircea Geoana este cult si educat</t>
  </si>
  <si>
    <t>L4B2</t>
  </si>
  <si>
    <t>Crin Antonescu este cult si educat</t>
  </si>
  <si>
    <t>L4B3</t>
  </si>
  <si>
    <t>Traian Basescu este cult si educat</t>
  </si>
  <si>
    <t>L4C1</t>
  </si>
  <si>
    <t>Mircea Geoana este apropiat de oamenii ca mine</t>
  </si>
  <si>
    <t>L4C2</t>
  </si>
  <si>
    <t>Crin Antonescu este apropiat de oamenii ca mine</t>
  </si>
  <si>
    <t>L4C3</t>
  </si>
  <si>
    <t>Traian Basescu este apropiat de oamenii ca mine</t>
  </si>
  <si>
    <t>L4D1</t>
  </si>
  <si>
    <t>Mircea Geoana face intotdeauna ceea ce promite</t>
  </si>
  <si>
    <t>L4D2</t>
  </si>
  <si>
    <t>Crin Antonescu face intotdeauna ceea ce promite</t>
  </si>
  <si>
    <t>L4D3</t>
  </si>
  <si>
    <t>Traian Basescu face intotdeauna ceea ce promite</t>
  </si>
  <si>
    <t>L4E1</t>
  </si>
  <si>
    <t>Mircea Geoana este competent</t>
  </si>
  <si>
    <t>L4E2</t>
  </si>
  <si>
    <t>Crin Antonescu este competent</t>
  </si>
  <si>
    <t>L4E3</t>
  </si>
  <si>
    <t>Traian Basescu este competent</t>
  </si>
  <si>
    <t>L4F1</t>
  </si>
  <si>
    <t>Mircea Geoana este hotarat si ferm in tot ceea ce face</t>
  </si>
  <si>
    <t>L4F2</t>
  </si>
  <si>
    <t>Crin Antonescu este hotarat si ferm in tot ceea ce face</t>
  </si>
  <si>
    <t>L4F3</t>
  </si>
  <si>
    <t>Traian Basescu este hotarat si ferm in tot ceea ce face</t>
  </si>
  <si>
    <t>L4G1</t>
  </si>
  <si>
    <t>Mircea Geoana va dezvolta relatii bune cu celelalte tari</t>
  </si>
  <si>
    <t>L4G2</t>
  </si>
  <si>
    <t>Crin Antonescu va dezvolta relatii bune cu celelalte tari</t>
  </si>
  <si>
    <t>L4G3</t>
  </si>
  <si>
    <t>Traian Basescu va dezvolta relatii bune cu celelalte tari</t>
  </si>
  <si>
    <t>L4H1</t>
  </si>
  <si>
    <t>Mircea Geoana stie sa ii conduca pe oamenii cu care lucreaza</t>
  </si>
  <si>
    <t>L4H2</t>
  </si>
  <si>
    <t>Crin Antonescu stie sa ii conduca pe oamenii cu care lucreaza</t>
  </si>
  <si>
    <t>L4H3</t>
  </si>
  <si>
    <t>Traian Basescu stie sa ii conduca pe oamenii cu care lucreaza</t>
  </si>
  <si>
    <t>L4I1</t>
  </si>
  <si>
    <t>Mircea Geoana este conflictual/certaret</t>
  </si>
  <si>
    <t>L4I2</t>
  </si>
  <si>
    <t>Crin Antonescu este conflictual/certaret</t>
  </si>
  <si>
    <t>L4I3</t>
  </si>
  <si>
    <t>Traian Basescu este conflictual/certaret</t>
  </si>
  <si>
    <t>L5I1</t>
  </si>
  <si>
    <t>Ce sanse credeti ca are ... sa castige alegerile prezidentiale? Va rog sa va exprimati parerea pe o scala de la 0 la 10, unde 0 inseamna „nicio sansa sa ajunga presedinte” si 10 „sigur ajunge presedinte”. Mircea Geoana</t>
  </si>
  <si>
    <t>Nicio sansa sa ajunga presedinte</t>
  </si>
  <si>
    <t>Sigur ajunge presedinte</t>
  </si>
  <si>
    <t>NC (Nu-l cunosc)</t>
  </si>
  <si>
    <t>L5I2</t>
  </si>
  <si>
    <t>L5I3</t>
  </si>
  <si>
    <t>L5I4</t>
  </si>
  <si>
    <t>L5I8</t>
  </si>
  <si>
    <t>Vreun alt candidat</t>
  </si>
  <si>
    <t>L6A1</t>
  </si>
  <si>
    <t>V-a facut vreodata ... sa simtiti FURIE? Cat de des? Mircea Geoana</t>
  </si>
  <si>
    <t>DA foarte des</t>
  </si>
  <si>
    <t>DA des</t>
  </si>
  <si>
    <t>DA rar</t>
  </si>
  <si>
    <t>DA foarte rar</t>
  </si>
  <si>
    <t>NU</t>
  </si>
  <si>
    <t>L6A2</t>
  </si>
  <si>
    <t>V-a facut vreodata ... sa simtiti FURIE? Cat de des? Crin Antonescu</t>
  </si>
  <si>
    <t>L6A3</t>
  </si>
  <si>
    <t>V-a facut vreodata ... sa simtiti FURIE? Cat de des? Traian Basescu</t>
  </si>
  <si>
    <t>L6A8</t>
  </si>
  <si>
    <t>V-a facut vreodata ... sa simtiti FURIE? Cat de des? Vreun alt candidat</t>
  </si>
  <si>
    <t>L6B1</t>
  </si>
  <si>
    <t>V-a facut vreodata ... sa simtiti SPERANTA? Cat de des? Mircea Geoana</t>
  </si>
  <si>
    <t>L6B2</t>
  </si>
  <si>
    <t>V-a facut vreodata ... sa simtiti SPERANTA? Cat de des? Crin Antonescu</t>
  </si>
  <si>
    <t>L6B3</t>
  </si>
  <si>
    <t>V-a facut vreodata ... sa simtiti SPERANTA? Cat de des? Traian Basescu</t>
  </si>
  <si>
    <t>L6B8</t>
  </si>
  <si>
    <t>V-a facut vreodata ... sa simtiti SPERANTA? Cat de des? Vreun alt candidat</t>
  </si>
  <si>
    <t>L6C1</t>
  </si>
  <si>
    <t>V-a facut vreodata ... sa simtiti TEAMA? Cat de des? Mircea Geoana</t>
  </si>
  <si>
    <t>L6C2</t>
  </si>
  <si>
    <t>V-a facut vreodata ... sa simtiti TEAMA? Cat de des? Crin Antonescu</t>
  </si>
  <si>
    <t>L6C3</t>
  </si>
  <si>
    <t>V-a facut vreodata ... sa simtiti TEAMA? Cat de des? Traian Basescu</t>
  </si>
  <si>
    <t>L6C8</t>
  </si>
  <si>
    <t>V-a facut vreodata ... sa simtiti TEAMA? Cat de des? Vreun alt candidat</t>
  </si>
  <si>
    <t>L6D1</t>
  </si>
  <si>
    <t>V-a facut vreodata ... sa simtiti MANDRIE? Cat de des? Mircea Geoana</t>
  </si>
  <si>
    <t>L6D2</t>
  </si>
  <si>
    <t>V-a facut vreodata ... sa simtiti MANDRIE? Cat de des? Crin Antonescu</t>
  </si>
  <si>
    <t>L6D3</t>
  </si>
  <si>
    <t>V-a facut vreodata ... sa simtiti MANDRIE? Cat de des? Traian Basescu</t>
  </si>
  <si>
    <t>L6D8</t>
  </si>
  <si>
    <t>V-a facut vreodata ... sa simtiti MANDRIE? Cat de des? Vreun alt candidat</t>
  </si>
  <si>
    <t>L7I1</t>
  </si>
  <si>
    <t>Daca ... castiga alegerile prezidentiale din noiembrie, credeti ca in urmatorul an economia Romaniei va merge mult mai bine, mai bine, aproximativ la fel, mai prost sau mult mai prost? Mircea Geoana</t>
  </si>
  <si>
    <t>L7I2</t>
  </si>
  <si>
    <t>L7I3</t>
  </si>
  <si>
    <t>L7I8</t>
  </si>
  <si>
    <t>V1A</t>
  </si>
  <si>
    <t>In primul tur la alegerile prezidentiale dvs. veti merge sigur la vot, probabil veti merge, probabil nu veti merge sau sigur nu veti merge la vot?</t>
  </si>
  <si>
    <t>sigur merg</t>
  </si>
  <si>
    <t>probabil merg</t>
  </si>
  <si>
    <t>probabil nu merg</t>
  </si>
  <si>
    <t>sigur nu merg</t>
  </si>
  <si>
    <t>V1B</t>
  </si>
  <si>
    <t>Din diferite motive, foarte probabil doar jumãtate dintre alegãtori vor merge la vot la alegerile prezidenþiale, turul 1. Dvs. veþi merge sigur la vot, probabil veþi merge, probabil nu veþi merge sau sigur nu veþi merge la vot?</t>
  </si>
  <si>
    <t>V2</t>
  </si>
  <si>
    <t>In acest moment stiti foarte sigur cu cine veti vota?</t>
  </si>
  <si>
    <t>Da, stiu foarte sigur</t>
  </si>
  <si>
    <t>Nu, nu stiu foarte sigur</t>
  </si>
  <si>
    <t>Nu votez</t>
  </si>
  <si>
    <t>NC, nu stie daca merge sau nu la vot</t>
  </si>
  <si>
    <t>V2C</t>
  </si>
  <si>
    <t>Care este candidatul cu care veti vota la Alegerile Prezidentiale in turul 1?</t>
  </si>
  <si>
    <t>Alt candidat</t>
  </si>
  <si>
    <t>Nu voi vota</t>
  </si>
  <si>
    <t>Nu stiu / Indecis / Nu m-am hotarat inca</t>
  </si>
  <si>
    <t>Vot alb</t>
  </si>
  <si>
    <t>Voi anula votul</t>
  </si>
  <si>
    <t>votpres</t>
  </si>
  <si>
    <t>Nu stiu/Indecis/Nu m-am hotarat inca</t>
  </si>
  <si>
    <t>V2C1</t>
  </si>
  <si>
    <t>Preferinta dvs. pentru (NUMELE CANDIDATULUI) este ...?</t>
  </si>
  <si>
    <t>foarte puternica</t>
  </si>
  <si>
    <t>puternica</t>
  </si>
  <si>
    <t>medie</t>
  </si>
  <si>
    <t>slaba</t>
  </si>
  <si>
    <t>foarte slaba</t>
  </si>
  <si>
    <t>V2C2</t>
  </si>
  <si>
    <t>Daca (NUMELE CANDIDATULUI) nu va ajunge in turul 2, veti merge sa votati la turul 2?</t>
  </si>
  <si>
    <t>V2C3</t>
  </si>
  <si>
    <t>Daca (NUMELE CANDIDATULUI) nu va ajunge in turul 2, dar va indeamna sa votati in turul 2 un anumit candidat, ii veti urma sfatul?</t>
  </si>
  <si>
    <t>sigur da</t>
  </si>
  <si>
    <t>probabil da</t>
  </si>
  <si>
    <t>probabil nu</t>
  </si>
  <si>
    <t>sigur nu</t>
  </si>
  <si>
    <t>V2NSI1</t>
  </si>
  <si>
    <t>Intre ce candidati sau variante va ganditi sa alegeti? Puteti face mai multe alegeri. Va ganditi sa ...? ... votati cu Mircea Geoana</t>
  </si>
  <si>
    <t>Mentionat</t>
  </si>
  <si>
    <t>Nementionat</t>
  </si>
  <si>
    <t>V2NSI2</t>
  </si>
  <si>
    <t>... votati cu Crin Antonescu</t>
  </si>
  <si>
    <t>V2NSI3</t>
  </si>
  <si>
    <t>... votati cu Traian Basescu</t>
  </si>
  <si>
    <t>V2NSI4</t>
  </si>
  <si>
    <t>... votati cu Sorin Oprescu</t>
  </si>
  <si>
    <t>V2NSI5</t>
  </si>
  <si>
    <t>... votati cu Corneliu Vadim Tudor</t>
  </si>
  <si>
    <t>V2NSI6</t>
  </si>
  <si>
    <t>... votati cu Kelemen Hunor</t>
  </si>
  <si>
    <t>V2NSI7</t>
  </si>
  <si>
    <t>... votati cu George Becali</t>
  </si>
  <si>
    <t>V2NSI8</t>
  </si>
  <si>
    <t>... votati cu alt candidat</t>
  </si>
  <si>
    <t>V2NSI95</t>
  </si>
  <si>
    <t>... sa nu puneti stampila pe niciun candidat (vot alb)</t>
  </si>
  <si>
    <t>V2NSI96</t>
  </si>
  <si>
    <t>... sa puneti stampila pe mai multi candidati (vot anulat)</t>
  </si>
  <si>
    <t>V2NSI97</t>
  </si>
  <si>
    <t>... sa nu mergeti la vot</t>
  </si>
  <si>
    <t>mentv2ns</t>
  </si>
  <si>
    <t>nsv2ns</t>
  </si>
  <si>
    <t>V1NU</t>
  </si>
  <si>
    <t>Si totusi, daca ati vota, carui candidat i-ati acorda votul la Alegerile Prezidentiale?</t>
  </si>
  <si>
    <t>NC - sigur / probabil merge la vot</t>
  </si>
  <si>
    <t>P13</t>
  </si>
  <si>
    <t>Cine credeti ca vor fi candidatii care vor ajunge pe primele doua locuri in turul 1 la alegerile prezidentiale? Primul candidat</t>
  </si>
  <si>
    <t>P14</t>
  </si>
  <si>
    <t>Al doilea candidat</t>
  </si>
  <si>
    <t>valoare pentru baza unitara</t>
  </si>
  <si>
    <t>V4A</t>
  </si>
  <si>
    <t>Sa presupunem ca niciun candidat nu va obtine suficiente voturi pentru a castiga din primul tur si ca in turul doi vor ajunge Mircea Geoana si Traian Basescu. In aceste conditii veti merge la vot la turul doi?</t>
  </si>
  <si>
    <t>Nu stiu, indecis</t>
  </si>
  <si>
    <t>Anulez votul</t>
  </si>
  <si>
    <t>Nu merg la vot</t>
  </si>
  <si>
    <t>V4B</t>
  </si>
  <si>
    <t>Sa presupunem ca niciun candidat nu va obtine suficiente voturi pentru a castiga din primul tur si ca in turul doi vor ajunge Crin Antonescu si Traian Basescu. In aceste conditii veti merge la vot la turul doi?</t>
  </si>
  <si>
    <t>V4C</t>
  </si>
  <si>
    <t>Sa presupunem ca niciun candidat nu va obtine suficiente voturi pentru a castiga din primul tur si ca in turul doi vor ajunge Mircea Geoana si Crin Antonescu. In aceste conditii veti merge la vot la turul doi?</t>
  </si>
  <si>
    <t>V5</t>
  </si>
  <si>
    <t>Cat de mare credeti ca va fi diferenta dintre castigatorul si invinsul din turul 2 al alegerilor prezidentiale?</t>
  </si>
  <si>
    <t>Foarte mica</t>
  </si>
  <si>
    <t>Mica</t>
  </si>
  <si>
    <t>Mare</t>
  </si>
  <si>
    <t>Foarte mare</t>
  </si>
  <si>
    <t>V6</t>
  </si>
  <si>
    <t>Unii oameni voteaza alti candidati decat cei pe care ii prefera, gandindu-se ca acestia au sanse mai mari sa castige. Indiferent de candidatul pe care il veti vota, dvs. pe cine ati prefera ca presedinte?</t>
  </si>
  <si>
    <t>Alt candidat dintre cei care candideaza acum</t>
  </si>
  <si>
    <t>Pe niciunul dintre cei care candideaza acum</t>
  </si>
  <si>
    <t>V7</t>
  </si>
  <si>
    <t>Daca duminica viitoare ar avea loc alegeri parlamentare, cu candidatii carui partid ati vota?</t>
  </si>
  <si>
    <t>Uniunea Democrata a Maghiarilor din Romania (UDMR)</t>
  </si>
  <si>
    <t>Partidul Romania Mare (PRM)</t>
  </si>
  <si>
    <t>Nu as vota</t>
  </si>
  <si>
    <t>Nu stiu, nu m-am hotarat</t>
  </si>
  <si>
    <t>As anula votul</t>
  </si>
  <si>
    <t>V7OTH</t>
  </si>
  <si>
    <t>T1</t>
  </si>
  <si>
    <t>Pe o scala de la 0 la 10, unde 0 inseamna „DELOC” iar 10 „FOARTE MULT”, cat de mult credeti ca votul dvs. va influenta rezultatul alegerilor prezidentiale?</t>
  </si>
  <si>
    <t>Nu influenteaza deloc</t>
  </si>
  <si>
    <t>Influenteaza foarte mult</t>
  </si>
  <si>
    <t>T2I1</t>
  </si>
  <si>
    <t>Daca ... castiga alegerile prezidentiale din noiembrie, o sa fiti mai degraba fericit, mai degraba trist sau nici fericit, nici trist? Mircea Geoana</t>
  </si>
  <si>
    <t>Mai degraba fericit</t>
  </si>
  <si>
    <t>Nici fericit, nici trist</t>
  </si>
  <si>
    <t>Mai degraba trist</t>
  </si>
  <si>
    <t>T2I2</t>
  </si>
  <si>
    <t>T2I3</t>
  </si>
  <si>
    <t>T2I8</t>
  </si>
  <si>
    <t>T3IA</t>
  </si>
  <si>
    <t>Participarea la vot este o datorie a fiecarui cetatean.</t>
  </si>
  <si>
    <t>Mai degraba adevarat</t>
  </si>
  <si>
    <t>Uneori adevarat, uneori fals</t>
  </si>
  <si>
    <t>Mai degraba fals</t>
  </si>
  <si>
    <t>T3IB</t>
  </si>
  <si>
    <t>Oamenii sunt atat de ocupati ca nu au timp sa voteze.</t>
  </si>
  <si>
    <t>T3IC</t>
  </si>
  <si>
    <t>Cei mai multi dintre membrii familiei mele cred ca este o pierdere de vreme sa mergi la vot.</t>
  </si>
  <si>
    <t>T3ID</t>
  </si>
  <si>
    <t>Cei mai multi dintre prietenii mei cred ca este o pierdere de vreme sa mergi la vot.</t>
  </si>
  <si>
    <t>T3IE</t>
  </si>
  <si>
    <t>Atat de multi oameni voteaza la alegeri incat votul meu nu conteaza.</t>
  </si>
  <si>
    <t>T3IF</t>
  </si>
  <si>
    <t>M-as simti foarte vinovat daca nu as vota.</t>
  </si>
  <si>
    <t>T3IG</t>
  </si>
  <si>
    <t>Cand votez am un sentiment de satisfactie.</t>
  </si>
  <si>
    <t>T3IH</t>
  </si>
  <si>
    <t>Mi-as neglija datoria de cetatean daca nu as vota.</t>
  </si>
  <si>
    <t>T4IB</t>
  </si>
  <si>
    <t>Pe o scala de la 0 la 10 unde 0 inseamna „foarte rusinos” si 10 „foarte de lauda”, cat de rusinos sau cat de lauda ar fi pentru o persoana daca ceilalti ar afla despre aceasta ca ...? nu a votat la ultimele alegeri</t>
  </si>
  <si>
    <t>Foarte rusinos</t>
  </si>
  <si>
    <t>Nici..., nici...</t>
  </si>
  <si>
    <t>Foarte de lauda</t>
  </si>
  <si>
    <t>T4IC</t>
  </si>
  <si>
    <t>nu a fost niciodata la vot</t>
  </si>
  <si>
    <t>T5IA</t>
  </si>
  <si>
    <t>In ce masura credeti ca viata dvs. si a familiei dvs. este influentata de hotararile luate de [...]? Precizati raspunsul dvs. folosind urmatoarea scala unde 0 inseamna DELOC iar 10 FOARTE MULT. ... primaria si consiliul din localitatea dvs.</t>
  </si>
  <si>
    <t>Foarte mult</t>
  </si>
  <si>
    <t>T5IB</t>
  </si>
  <si>
    <t>... guvernul Romaniei</t>
  </si>
  <si>
    <t>T5IC</t>
  </si>
  <si>
    <t>... parlamentul Romaniei</t>
  </si>
  <si>
    <t>T5ID</t>
  </si>
  <si>
    <t>... presedintele Romaniei</t>
  </si>
  <si>
    <t>T6IA</t>
  </si>
  <si>
    <t>In general, credeti ca FELUL IN CARE MERG LUCRURILE IN ROMANIA depinde de rezultatul Alegerilor ...? Folositi aceasta scala pentru a indica raspunsul - 0 inseamna ca felul in care merg lucrurile in Romania nu depinde deloc de rezultatul alegerilor, iar 10</t>
  </si>
  <si>
    <t>T6IB</t>
  </si>
  <si>
    <t>... parlamentare</t>
  </si>
  <si>
    <t>T6IC</t>
  </si>
  <si>
    <t>... prezidentiale</t>
  </si>
  <si>
    <t>T7IA</t>
  </si>
  <si>
    <t>In general, credeti ca NIVELUL DVS. DE TRAI depinde de rezultatul Alegerilor ...? Folositi aceasta scala pentru a indica raspunsul - 0 inseamna ca nivelul dvs. de trai nu depinde deloc de rezultatul alegerilor, iar 10 ca depinde foarte mult. ... locale</t>
  </si>
  <si>
    <t>T7IB</t>
  </si>
  <si>
    <t>T7IC</t>
  </si>
  <si>
    <t>T8IA</t>
  </si>
  <si>
    <t>In ce masura credeti ca oameni ca dvs. pot influenta hotararile importante care se iau de catre [...]? Precizati raspunsul dvs. folosind urmatoarea scala unde 0 inseamna DELOC iar 10 FOARTE MULT. ... primaria si consiliul din localitatea dvs.</t>
  </si>
  <si>
    <t>T8IB</t>
  </si>
  <si>
    <t>T8IC</t>
  </si>
  <si>
    <t>T8ID</t>
  </si>
  <si>
    <t>T9IC</t>
  </si>
  <si>
    <t>Pe o scala de la 0 la 10, unde 0 inseamna DELOC iar 10 IN FOARTE MARE MASURA, in ce masura vi se potrivesc urmatoarele afirmatii? Uneori politica este atat de complicata incat cineva ca mine pur si simplu nu intelege ce se intampla.</t>
  </si>
  <si>
    <t>In foarte mare masura</t>
  </si>
  <si>
    <t>T9IE</t>
  </si>
  <si>
    <t>Cred ca inteleg destul de bine principalele probleme politice ale Romaniei.</t>
  </si>
  <si>
    <t>T9IH</t>
  </si>
  <si>
    <t>As face fata unei discutii pe teme politice fara probleme.</t>
  </si>
  <si>
    <t>VV1</t>
  </si>
  <si>
    <t>Sunteti de acord ca Parlamentul Romaniei sa fie format dintr-o singura camera?</t>
  </si>
  <si>
    <t>Da</t>
  </si>
  <si>
    <t>Nu</t>
  </si>
  <si>
    <t>VV2</t>
  </si>
  <si>
    <t>Sunteti de acord cu reducerea numarului de parlamentari?</t>
  </si>
  <si>
    <t>VV3</t>
  </si>
  <si>
    <t>Cati parlamentari credeti ca ar trebui sa aiba Parlamentul Romaniei?</t>
  </si>
  <si>
    <t>VV4</t>
  </si>
  <si>
    <t>Daca ati face dvs. legea, si ar trebui sa alegeti intre urmatoarele doua variante, cum credeti ca ar fi mai bine?</t>
  </si>
  <si>
    <t>Presedintele sa numeasca ce prim ministru vrea el</t>
  </si>
  <si>
    <t>Presedintele sa numeasca prim ministrul sustinut de mai mult</t>
  </si>
  <si>
    <t>VV5</t>
  </si>
  <si>
    <t>Cum credeti ca ar trebui sa fie ales Presedintele Romaniei?</t>
  </si>
  <si>
    <t>prin vot direct de catre cetateni</t>
  </si>
  <si>
    <t>de catre Parlament</t>
  </si>
  <si>
    <t>VV6</t>
  </si>
  <si>
    <t>Cum credeti ca ar trebui sa fie alesi parlamentarii Romaniei?</t>
  </si>
  <si>
    <t>Doar prin vot uninominal (adica sa voteze un candidat)</t>
  </si>
  <si>
    <t>Doar prin vot pe liste de partid (adica sa voteze o lista de</t>
  </si>
  <si>
    <t>O parte prin vot uninominal si o parte pe liste de partid</t>
  </si>
  <si>
    <t>VV7A</t>
  </si>
  <si>
    <t>Sunteti de acord sau nu cu urmatoarele afirmatii? Salariul minim ar trebui sa fie acelasi indiferent daca lucrezi la stat sau la privat.</t>
  </si>
  <si>
    <t>Total dezacord</t>
  </si>
  <si>
    <t>Dezacord</t>
  </si>
  <si>
    <t>De acord</t>
  </si>
  <si>
    <t>Total de acord</t>
  </si>
  <si>
    <t>VV7B</t>
  </si>
  <si>
    <t>Toate pensiile ar trebui sa se calculeze dupa aceleasi criterii, indiferent de ocupatie sau functie.</t>
  </si>
  <si>
    <t>VV7C</t>
  </si>
  <si>
    <t>Indiferent de salarii, procentul platit pentru taxe si impozite trebuie sa fie acelasi.</t>
  </si>
  <si>
    <t>VV8A</t>
  </si>
  <si>
    <t>Credeti ca urmatoarele afirmatii sunt adevarate sau false? In Romania sunt prea multi bugetari.</t>
  </si>
  <si>
    <t>VV8B</t>
  </si>
  <si>
    <t>Invatamantul romanesc este performant.</t>
  </si>
  <si>
    <t>VV8C</t>
  </si>
  <si>
    <t>Numarul parlamentarilor este prea mare.</t>
  </si>
  <si>
    <t>VV9</t>
  </si>
  <si>
    <t>In opinia dvs., cei care primesc pensie ...</t>
  </si>
  <si>
    <t>nu ar trebui sa aiba drept de munca</t>
  </si>
  <si>
    <t>ar trebui sa poata lucra doar in mediul privat</t>
  </si>
  <si>
    <t>ar trebui sa aiba voie sa lucreze oriunde</t>
  </si>
  <si>
    <t>VV10A</t>
  </si>
  <si>
    <t>Cum apreciati salariile bugetarilor din ... sanatate</t>
  </si>
  <si>
    <t>prea mari</t>
  </si>
  <si>
    <t>potrivite</t>
  </si>
  <si>
    <t>prea mici</t>
  </si>
  <si>
    <t>VV10B</t>
  </si>
  <si>
    <t>invatamant</t>
  </si>
  <si>
    <t>VV10C</t>
  </si>
  <si>
    <t>administratie</t>
  </si>
  <si>
    <t>VV10D</t>
  </si>
  <si>
    <t>politie</t>
  </si>
  <si>
    <t>VV10E</t>
  </si>
  <si>
    <t>justitie</t>
  </si>
  <si>
    <t>Q1A</t>
  </si>
  <si>
    <t>Pe o scala de la 0 la 10, va rog sa imi spuneti cata incredere aveti in fiecare dintre urmatoarele institutii. 0 inseamna ca nu aveti deloc incredere in acea institutie, iar 10 inseamna ca aveti incredere deplina. Daca nu cunoasteti suficient de multe lucr</t>
  </si>
  <si>
    <t>Deloc incredere</t>
  </si>
  <si>
    <t>Incredere deplina</t>
  </si>
  <si>
    <t>Q1B</t>
  </si>
  <si>
    <t>Guvernul Romaniei</t>
  </si>
  <si>
    <t>Q1C</t>
  </si>
  <si>
    <t>Partidele politice din Romania</t>
  </si>
  <si>
    <t>Q1D</t>
  </si>
  <si>
    <t>Mass media din Romania</t>
  </si>
  <si>
    <t>Q1E</t>
  </si>
  <si>
    <t>Biserica</t>
  </si>
  <si>
    <t>Q1F</t>
  </si>
  <si>
    <t>Armata</t>
  </si>
  <si>
    <t>Q1G</t>
  </si>
  <si>
    <t>Presedintie</t>
  </si>
  <si>
    <t>Q1H</t>
  </si>
  <si>
    <t>Primaria localitatii in care locuiti</t>
  </si>
  <si>
    <t>Q1I</t>
  </si>
  <si>
    <t>Justitie</t>
  </si>
  <si>
    <t>Q2</t>
  </si>
  <si>
    <t>Cu privire la diverse lucruri legate de politica, oamenii vorbesc despre “stanga” si “dreapta”. Care este pozitia dvs.? Va rog sa indicati pozitia dvs. folosind orice numar din intervalul 1-10. Pe aceasta scala, unde 1 inseamna “stanga” si 10 inseamna “dre</t>
  </si>
  <si>
    <t>Stanga</t>
  </si>
  <si>
    <t>Dreapta</t>
  </si>
  <si>
    <t>Q3</t>
  </si>
  <si>
    <t>Exista vreo formatiune politica in Romania care sa va reprezinte opiniile suficient de bine?</t>
  </si>
  <si>
    <t>Q3A</t>
  </si>
  <si>
    <t>Care este formatiunea politica care va reprezinta cel mai bine opiniile?</t>
  </si>
  <si>
    <t>Q4</t>
  </si>
  <si>
    <t>Ati spune despre dvs. ca va simtiti apropiat de o anumita formatiune politica?</t>
  </si>
  <si>
    <t>Q4A</t>
  </si>
  <si>
    <t>Va simtiti totusi mai apropiat de vreo formatiune politica decat de celelalte?</t>
  </si>
  <si>
    <t>Q4B</t>
  </si>
  <si>
    <t>Care este formatiunea politica de care va simtiti cel mai apropiat?</t>
  </si>
  <si>
    <t>Q20C</t>
  </si>
  <si>
    <t>Cat de apropiat va simtiti de aceasta formatiune politica?</t>
  </si>
  <si>
    <t>Foarte apropiat</t>
  </si>
  <si>
    <t>Oarecum apropiat</t>
  </si>
  <si>
    <t>Nu foarte apropiat</t>
  </si>
  <si>
    <t>GEN</t>
  </si>
  <si>
    <t>Genul respondentului</t>
  </si>
  <si>
    <t>Barbat</t>
  </si>
  <si>
    <t>Femeie</t>
  </si>
  <si>
    <t>ANNAST</t>
  </si>
  <si>
    <t>An nastere complet</t>
  </si>
  <si>
    <t>VARSTA</t>
  </si>
  <si>
    <t>Varsta</t>
  </si>
  <si>
    <t>Refuz</t>
  </si>
  <si>
    <t>EDUC</t>
  </si>
  <si>
    <t>Care este cel mai inalt nivel de educatie atins de DVS?</t>
  </si>
  <si>
    <t>fara scoala</t>
  </si>
  <si>
    <t>scoala primara neterminata</t>
  </si>
  <si>
    <t>scoala primara terminata</t>
  </si>
  <si>
    <t>liceu neterminat</t>
  </si>
  <si>
    <t>liceu terminat</t>
  </si>
  <si>
    <t>gimnaziu incomplet</t>
  </si>
  <si>
    <t>gimnaziu complet</t>
  </si>
  <si>
    <t>scoala de ucenici (complementara)</t>
  </si>
  <si>
    <t>scoala profesionala</t>
  </si>
  <si>
    <t>scoala postliceala</t>
  </si>
  <si>
    <t>facultate neterminata</t>
  </si>
  <si>
    <t>facultate - subingineri sau colegiu</t>
  </si>
  <si>
    <t>facultate complet</t>
  </si>
  <si>
    <t>masterat</t>
  </si>
  <si>
    <t>doctorat</t>
  </si>
  <si>
    <t>ANISCOAL</t>
  </si>
  <si>
    <t>Care este numarul total de ani de scoala absolviti de dvs.?</t>
  </si>
  <si>
    <t>LM1I1</t>
  </si>
  <si>
    <t>In prezent, care dintre urmatoarele corespund situatiei dvs. ocupationale? Sunteti...? angajat cu norma intreaga (30 ore pe saptamana sau mai mult)</t>
  </si>
  <si>
    <t>LM1I2</t>
  </si>
  <si>
    <t>angajat cu norma partiala (mai putin de 30 de ore pe saptamana)</t>
  </si>
  <si>
    <t>LM1I3</t>
  </si>
  <si>
    <t>in somaj (inclusiv somaj tehnic)</t>
  </si>
  <si>
    <t>LM1I4</t>
  </si>
  <si>
    <t>elev/student la zi</t>
  </si>
  <si>
    <t>LM1I5</t>
  </si>
  <si>
    <t>pensionar/in incapacitate de munca</t>
  </si>
  <si>
    <t>LM1I6</t>
  </si>
  <si>
    <t>intreprinzator pe cont propriu, inclusiv agricultor/fermier, proprietarul unei afaceri cu sau fara angajati</t>
  </si>
  <si>
    <t>LM1I7</t>
  </si>
  <si>
    <t>liber profesionist</t>
  </si>
  <si>
    <t>LM1I8</t>
  </si>
  <si>
    <t>sunteti casnica sau lucrati tot timpul in gospodarie, aveti grija de copii fara a fi platit(a) pentru aceasta</t>
  </si>
  <si>
    <t>LM1I9</t>
  </si>
  <si>
    <t>Altceva, ce?</t>
  </si>
  <si>
    <t>LM1I9OTH</t>
  </si>
  <si>
    <t>LM2</t>
  </si>
  <si>
    <t>Ce ocupatie aveti in prezent sau care a fost ultima ocupatie pe care ati avut-o?</t>
  </si>
  <si>
    <t>conducatori de unitati si patroni, intreprinzatori</t>
  </si>
  <si>
    <t>ocupatii intelectuale (profesor, medic, economist, avocat, i</t>
  </si>
  <si>
    <t>tehnicieni sau maistri</t>
  </si>
  <si>
    <t>muncitori calificati</t>
  </si>
  <si>
    <t>muncitori necalificati in sectoare non-agricole</t>
  </si>
  <si>
    <t>functionari</t>
  </si>
  <si>
    <t>lucratori in servicii si comert</t>
  </si>
  <si>
    <t>agricultori cu calificare sau in gospodaria proprie</t>
  </si>
  <si>
    <t>mestesugari si mecanici reparatori</t>
  </si>
  <si>
    <t>zilieri in agricultura</t>
  </si>
  <si>
    <t>inactiv (copii, elevi / studenti, casnice)</t>
  </si>
  <si>
    <t>Nu stiu, nu-mi amintesc</t>
  </si>
  <si>
    <t>cadru militar</t>
  </si>
  <si>
    <t>altele</t>
  </si>
  <si>
    <t>munceste in strainatate</t>
  </si>
  <si>
    <t>LM4</t>
  </si>
  <si>
    <t>Lucrati sau ati lucrat in sectorul privat sau public („de stat”)?</t>
  </si>
  <si>
    <t>Public</t>
  </si>
  <si>
    <t>Privat</t>
  </si>
  <si>
    <t>ONG</t>
  </si>
  <si>
    <t>STCIV</t>
  </si>
  <si>
    <t>In prezent sunteti…?</t>
  </si>
  <si>
    <t>casatorit(a) cu acte</t>
  </si>
  <si>
    <t>casatorit(a) fara acte / concubinaj</t>
  </si>
  <si>
    <t>divortat(a)</t>
  </si>
  <si>
    <t>separat(a)</t>
  </si>
  <si>
    <t>necasatorit(a)</t>
  </si>
  <si>
    <t>vaduv(a)</t>
  </si>
  <si>
    <t>ETN</t>
  </si>
  <si>
    <t>Care este etnia dvs.?</t>
  </si>
  <si>
    <t>romana</t>
  </si>
  <si>
    <t>maghiara</t>
  </si>
  <si>
    <t>roma</t>
  </si>
  <si>
    <t>germana</t>
  </si>
  <si>
    <t>alta</t>
  </si>
  <si>
    <t>REL1</t>
  </si>
  <si>
    <t>Care este religia Dvs.?</t>
  </si>
  <si>
    <t>ortodoxa</t>
  </si>
  <si>
    <t>romano-catolica</t>
  </si>
  <si>
    <t>protestanta (calvina, evanghelica, luterana, reformata)</t>
  </si>
  <si>
    <t>religie nedeclarata</t>
  </si>
  <si>
    <t>ateu</t>
  </si>
  <si>
    <t>greco-catolica</t>
  </si>
  <si>
    <t>neo-protestanta (penticostala, adventista, baptista, evanghe</t>
  </si>
  <si>
    <t>fara religie</t>
  </si>
  <si>
    <t>alta religie</t>
  </si>
  <si>
    <t>REL2</t>
  </si>
  <si>
    <t>In afara de nunti, inmormantari si botezuri, cat de des ati mers in ultimul timp la biserica?</t>
  </si>
  <si>
    <t>Zilnic</t>
  </si>
  <si>
    <t>De mai multe ori pe saptamana</t>
  </si>
  <si>
    <t>O data pe saptamana</t>
  </si>
  <si>
    <t>De fapt, niciodata</t>
  </si>
  <si>
    <t>De doua, trei ori pe luna</t>
  </si>
  <si>
    <t>O data pe luna</t>
  </si>
  <si>
    <t>De Craciun, de Paste si alte zile sfinte</t>
  </si>
  <si>
    <t>O data pe an sau mai rar</t>
  </si>
  <si>
    <t>REL3</t>
  </si>
  <si>
    <t>Cat de des va rugati lui Dumnezeu in afara serviciilor religioase?</t>
  </si>
  <si>
    <t>In fiecare zi</t>
  </si>
  <si>
    <t>De cateva ori pe saptamana</t>
  </si>
  <si>
    <t>Cel putin o data pe luna</t>
  </si>
  <si>
    <t>De mai multe ori pe an</t>
  </si>
  <si>
    <t>Mai rar</t>
  </si>
  <si>
    <t>REL4IA</t>
  </si>
  <si>
    <t>Cat de des faceti fiecare din urmatoarele lucruri? Va inchinati sau va faceti semnul crucii cand treceti prin fata unei biserici</t>
  </si>
  <si>
    <t>Intotdeauna</t>
  </si>
  <si>
    <t>De cele mai multe ori</t>
  </si>
  <si>
    <t>Cateodata</t>
  </si>
  <si>
    <t>REL4IB</t>
  </si>
  <si>
    <t>In zilele de duminica sau de sarbatori religioase munciti in gospodarie sau in alta parte?</t>
  </si>
  <si>
    <t>REL4IC</t>
  </si>
  <si>
    <t>Primiti in casa preotul cu botezul</t>
  </si>
  <si>
    <t>REL4ID</t>
  </si>
  <si>
    <t>Postiti (nu mancati de dulce) in zilele de post, altele decat cele de dinaintea marilor sarbatori</t>
  </si>
  <si>
    <t>REL4IE</t>
  </si>
  <si>
    <t>Cereti sfatul preotului cand aveti un necaz</t>
  </si>
  <si>
    <t>REL5</t>
  </si>
  <si>
    <t>De obicei, postiti in perioadele de post de dinaintea marilor sarbatori (Postul Pastelui, Postul Apostolilor, Postul Adormirii Maicii Domnului, Postul Craciunului)?</t>
  </si>
  <si>
    <t>Da, toata perioada</t>
  </si>
  <si>
    <t>Da, dar doar partial (o saptamana, cateva zile)</t>
  </si>
  <si>
    <t>Nu, deloc</t>
  </si>
  <si>
    <t>Nu stiu care sunt aceste perioade</t>
  </si>
  <si>
    <t>REL6IA</t>
  </si>
  <si>
    <t>Ati putea sa ne spuneti daca... Aveti un duhovnic?</t>
  </si>
  <si>
    <t>REL6IB</t>
  </si>
  <si>
    <t>Contribuiti periodic cu bani la biserica de care apartineti?</t>
  </si>
  <si>
    <t>REL6IC</t>
  </si>
  <si>
    <t>Va spovediti periodic?</t>
  </si>
  <si>
    <t>REL6ID</t>
  </si>
  <si>
    <t>Aveti in casa o icoana?</t>
  </si>
  <si>
    <t>REL6IE</t>
  </si>
  <si>
    <t>Obisnuiti sa mergeti periodic la mormintele rudelor decedate?</t>
  </si>
  <si>
    <t>ABILIA</t>
  </si>
  <si>
    <t>Ati putea sa ne spuneti daca... Stiti sa folositi computerul?</t>
  </si>
  <si>
    <t>ABILIB</t>
  </si>
  <si>
    <t>Stiti sa navigati pe Internet?</t>
  </si>
  <si>
    <t>ABILIC</t>
  </si>
  <si>
    <t>Aveti permis de conducere?</t>
  </si>
  <si>
    <t>ABILID</t>
  </si>
  <si>
    <t>Aveti vreun cont sau card la vreo banca sau la CEC?</t>
  </si>
  <si>
    <t>LIMBA</t>
  </si>
  <si>
    <t>In afara de limba dvs. materna, cunoasteti o alta limba suficient de bine astfel incat sa luati parte la o conversatie?</t>
  </si>
  <si>
    <t>NRMEM</t>
  </si>
  <si>
    <t>Din cati membri este alcatuita gospodaria dvs.?</t>
  </si>
  <si>
    <t>BOOKS</t>
  </si>
  <si>
    <t>Cam cate carti aveti in biblioteca personala?</t>
  </si>
  <si>
    <t>RM1IA</t>
  </si>
  <si>
    <t>Aveti in gospodarie in stare de functionare...? autoturism (inclusiv de la firma)</t>
  </si>
  <si>
    <t>RM1IB</t>
  </si>
  <si>
    <t>telefon mobil (inclusiv de la firma)</t>
  </si>
  <si>
    <t>RM1IC</t>
  </si>
  <si>
    <t>masina automata de spalat haine</t>
  </si>
  <si>
    <t>RM1ID</t>
  </si>
  <si>
    <t>computer</t>
  </si>
  <si>
    <t>RM1IE</t>
  </si>
  <si>
    <t>acces la Internet</t>
  </si>
  <si>
    <t>RM1IF</t>
  </si>
  <si>
    <t>aer conditionat</t>
  </si>
  <si>
    <t>RM1IG</t>
  </si>
  <si>
    <t>apa calda curenta (la robinet)</t>
  </si>
  <si>
    <t>MIG1</t>
  </si>
  <si>
    <t>Dupa 1989, dvs. sau altcineva din gospodaria dvs. a fost vreodata in strainatate?</t>
  </si>
  <si>
    <t>Da, eu</t>
  </si>
  <si>
    <t>Da, si eu si altcineva</t>
  </si>
  <si>
    <t>Da, altcineva</t>
  </si>
  <si>
    <t>MIG2IA</t>
  </si>
  <si>
    <t>Motivul/vele plecarii/lor au fost...? Munca</t>
  </si>
  <si>
    <t>MIG2IAOT</t>
  </si>
  <si>
    <t>In ce tara cel mai des?</t>
  </si>
  <si>
    <t>MIG2IB</t>
  </si>
  <si>
    <t>Motivul/vele plecarii/lor au fost...? Turism</t>
  </si>
  <si>
    <t>MIG2IBOT</t>
  </si>
  <si>
    <t>MIG2IC</t>
  </si>
  <si>
    <t>Motivul/vele plecarii/lor au fost...? Educatie</t>
  </si>
  <si>
    <t>MIG2ICOT</t>
  </si>
  <si>
    <t>MIG2ID</t>
  </si>
  <si>
    <t>Motivul/vele plecarii/lor au fost...? Alt motiv</t>
  </si>
  <si>
    <t>MIG2IDOT</t>
  </si>
  <si>
    <t>MIG4</t>
  </si>
  <si>
    <t>In acest moment, vreunul dintre membrii gospodariei dvs. este plecat in strainatate?</t>
  </si>
  <si>
    <t>MIG4OTH</t>
  </si>
  <si>
    <t>In ce tara?</t>
  </si>
  <si>
    <t>SINDICAT</t>
  </si>
  <si>
    <t>Dvs. sau cineva din familia dvs. este membru de sindicat?</t>
  </si>
  <si>
    <t>Da, eu sunt</t>
  </si>
  <si>
    <t>Da, altcineva este</t>
  </si>
  <si>
    <t>RM2</t>
  </si>
  <si>
    <t>In luna trecuta (octombrie), suma totala de bani obtinuta de catre toti membrii gospodariei dvs. incluzand salarii, dividende, chirii, vanzari etc., a fost cam de …</t>
  </si>
  <si>
    <t>niciun venit</t>
  </si>
  <si>
    <t>RM3</t>
  </si>
  <si>
    <t>Dar venitul dvs. personal in luna trecuta (octombrie) a fost cam de ...?</t>
  </si>
  <si>
    <t>VMIG1</t>
  </si>
  <si>
    <t>In gospodaria dvs., cat de des primiti bani din strainatate (de la un membru al familiei/ruda care traieste/lucreaza in strainatate)?</t>
  </si>
  <si>
    <t>O data pe an</t>
  </si>
  <si>
    <t>De cateva ori pe an</t>
  </si>
  <si>
    <t>O data la 2-3 luni</t>
  </si>
  <si>
    <t>Lunar</t>
  </si>
  <si>
    <t>Mai des</t>
  </si>
  <si>
    <t>MIG2A</t>
  </si>
  <si>
    <t>Cam ce suma primiti de obicei?</t>
  </si>
  <si>
    <t>VMIG2B</t>
  </si>
  <si>
    <t>Moneda</t>
  </si>
  <si>
    <t>EURO</t>
  </si>
  <si>
    <t>USD</t>
  </si>
  <si>
    <t>RON</t>
  </si>
  <si>
    <t>SAN2</t>
  </si>
  <si>
    <t>Aveti o boala sau o infirmitate care va impiedica la activitatile dvs.?</t>
  </si>
  <si>
    <t>CODJUDET</t>
  </si>
  <si>
    <t>Cod Judet</t>
  </si>
  <si>
    <t>ALBA</t>
  </si>
  <si>
    <t>ARAD</t>
  </si>
  <si>
    <t>ARGES</t>
  </si>
  <si>
    <t>BRASOV</t>
  </si>
  <si>
    <t>BRAILA</t>
  </si>
  <si>
    <t>BACAU</t>
  </si>
  <si>
    <t>BIHOR</t>
  </si>
  <si>
    <t>BISTRITA-NASAUD</t>
  </si>
  <si>
    <t>BOTOSANI</t>
  </si>
  <si>
    <t>BUZAU</t>
  </si>
  <si>
    <t>CARAS-SEVERIN</t>
  </si>
  <si>
    <t>CLUJ</t>
  </si>
  <si>
    <t>CONSTANTA</t>
  </si>
  <si>
    <t>COVASNA</t>
  </si>
  <si>
    <t>DIMBOVITA</t>
  </si>
  <si>
    <t>DOLJ</t>
  </si>
  <si>
    <t>GALATI</t>
  </si>
  <si>
    <t>GORJ</t>
  </si>
  <si>
    <t>HARGHITA</t>
  </si>
  <si>
    <t>HUNEDOARA</t>
  </si>
  <si>
    <t>IALOMITA</t>
  </si>
  <si>
    <t>IASI</t>
  </si>
  <si>
    <t>ILFOV</t>
  </si>
  <si>
    <t>MARAMURES</t>
  </si>
  <si>
    <t>MEHEDINTI</t>
  </si>
  <si>
    <t>MURES</t>
  </si>
  <si>
    <t>NEAMT</t>
  </si>
  <si>
    <t>OLT</t>
  </si>
  <si>
    <t>PRAHOVA</t>
  </si>
  <si>
    <t>SATU_MARE</t>
  </si>
  <si>
    <t>SALAJ</t>
  </si>
  <si>
    <t>SIBIU</t>
  </si>
  <si>
    <t>SUCEAVA</t>
  </si>
  <si>
    <t>TELEORMAN</t>
  </si>
  <si>
    <t>TIMIS</t>
  </si>
  <si>
    <t>TULCEA</t>
  </si>
  <si>
    <t>VASLUI</t>
  </si>
  <si>
    <t>VILCEA</t>
  </si>
  <si>
    <t>VRANCEA</t>
  </si>
  <si>
    <t>BUCURESTI</t>
  </si>
  <si>
    <t>CALARASI</t>
  </si>
  <si>
    <t>GIURGIU</t>
  </si>
  <si>
    <t>NUMELOC</t>
  </si>
  <si>
    <t>NUMEL LOCALITATE ESANTION</t>
  </si>
  <si>
    <t>SIRSUP</t>
  </si>
  <si>
    <t>Cod SIRSUP</t>
  </si>
  <si>
    <t>NSV</t>
  </si>
  <si>
    <t>NUMAR SECTIE DE VOT</t>
  </si>
  <si>
    <t>SIRINF</t>
  </si>
  <si>
    <t>Cod SIRINF</t>
  </si>
  <si>
    <t>SAT</t>
  </si>
  <si>
    <t>TIPLOC</t>
  </si>
  <si>
    <t>Tip localitate</t>
  </si>
  <si>
    <t>oras mare, peste 200.000 locuitori</t>
  </si>
  <si>
    <t>oras mare, 100-200.000 locuitori</t>
  </si>
  <si>
    <t>oras mic, 30-100.000 locuitori</t>
  </si>
  <si>
    <t>oras foarte mic, sub 30.000 locuitori</t>
  </si>
  <si>
    <t>sat centru comuna</t>
  </si>
  <si>
    <t>sat</t>
  </si>
  <si>
    <t>LOC1</t>
  </si>
  <si>
    <t>Locuinta este</t>
  </si>
  <si>
    <t>intr-o casa individuala</t>
  </si>
  <si>
    <t>intr-o casa cu mai multe locuinte</t>
  </si>
  <si>
    <t>intr-o vila (2-4 apartamente)</t>
  </si>
  <si>
    <t>intr-un bloc de confort I sau II</t>
  </si>
  <si>
    <t>intr-un bloc confort III, IV sau fost camin de nefamilisti</t>
  </si>
  <si>
    <t>in locuinte parasite</t>
  </si>
  <si>
    <t>intr-o locuinta improvizata</t>
  </si>
  <si>
    <t>LOC2</t>
  </si>
  <si>
    <t>Locuinta este situata...</t>
  </si>
  <si>
    <t>Intr-o zona centrala a satului/orasului</t>
  </si>
  <si>
    <t>Intr-o zona de la marginea satului/orasului</t>
  </si>
  <si>
    <t>Intr-alta zona din sat/oras</t>
  </si>
  <si>
    <t>DIST</t>
  </si>
  <si>
    <t>Distanta pana la cel mai apropiat oras</t>
  </si>
  <si>
    <t>DRUM</t>
  </si>
  <si>
    <t>Drumul din fata casei este</t>
  </si>
  <si>
    <t>asfaltat</t>
  </si>
  <si>
    <t>pietruit</t>
  </si>
  <si>
    <t>de pamant</t>
  </si>
  <si>
    <t>TREI1</t>
  </si>
  <si>
    <t>Pe durata aplicarii chestionarului (o parte a acestuia) a mai fost prezent(a)/a mai asistat Si o alta persoana la interviu? sotia / sotul (sau similar)</t>
  </si>
  <si>
    <t>TREI2</t>
  </si>
  <si>
    <t>mama / tata</t>
  </si>
  <si>
    <t>TREI3</t>
  </si>
  <si>
    <t>copil de cel mult 10 ani</t>
  </si>
  <si>
    <t>TREI4</t>
  </si>
  <si>
    <t>copil de peste 10 ani</t>
  </si>
  <si>
    <t>TREI5</t>
  </si>
  <si>
    <t>altcineva</t>
  </si>
  <si>
    <t>SUBI1</t>
  </si>
  <si>
    <t>Pe o scala de la 0 (minim) la 10 (maxim), cum apreciati ...? Interesul respondentului pentru temele discutate</t>
  </si>
  <si>
    <t>Minim</t>
  </si>
  <si>
    <t>Maxim</t>
  </si>
  <si>
    <t>SUBI2</t>
  </si>
  <si>
    <t>Capacitatea respondentului de a intelege intrebarile</t>
  </si>
  <si>
    <t>SUBI3</t>
  </si>
  <si>
    <t>Capacitatea respondentului de a da un raspuns la intrebari</t>
  </si>
  <si>
    <t>SUBI4</t>
  </si>
  <si>
    <t>Nivelul de informare al respondentului pe teme de politica si alegeri</t>
  </si>
  <si>
    <t>DD</t>
  </si>
  <si>
    <t>Ziua</t>
  </si>
  <si>
    <t>MM</t>
  </si>
  <si>
    <t>Durata interviului</t>
  </si>
  <si>
    <t>CODOP</t>
  </si>
  <si>
    <t>Codul operatorului</t>
  </si>
  <si>
    <t>CODSUP</t>
  </si>
  <si>
    <t>Codul supervizorului</t>
  </si>
  <si>
    <t>CODINTRO</t>
  </si>
  <si>
    <t>Cod INTRO</t>
  </si>
  <si>
    <t>VALUL2</t>
  </si>
  <si>
    <t>=============SEPARATOR VALUL 2=========</t>
  </si>
  <si>
    <t>STAT_VAL2</t>
  </si>
  <si>
    <t>Statutul respondentului in valul 2</t>
  </si>
  <si>
    <t>lipsa contact</t>
  </si>
  <si>
    <t>interviu finalizat</t>
  </si>
  <si>
    <t>confirmare - reintervievare refuzata</t>
  </si>
  <si>
    <t>confirmare - reintervievare reprogramata</t>
  </si>
  <si>
    <t>lipsa contact din cauza intermediarului</t>
  </si>
  <si>
    <t>interviu suspendat</t>
  </si>
  <si>
    <t>reprogramare nefinalizata</t>
  </si>
  <si>
    <t>refuz reprogramare</t>
  </si>
  <si>
    <t>numar gresit</t>
  </si>
  <si>
    <t>interviu val 1 neconfirmat</t>
  </si>
  <si>
    <t>Neeligibil (telefon lipsa)</t>
  </si>
  <si>
    <t>interviu finalizat cu altcineva decat respondentul din val 1</t>
  </si>
  <si>
    <t>telficti</t>
  </si>
  <si>
    <t>Telefon fictiv</t>
  </si>
  <si>
    <t>proptel</t>
  </si>
  <si>
    <t>S-a sunat pe telefonul...</t>
  </si>
  <si>
    <t>nu exista telefon</t>
  </si>
  <si>
    <t>telefonul respondentului</t>
  </si>
  <si>
    <t>telefonul unui intermediar</t>
  </si>
  <si>
    <t>apeluri</t>
  </si>
  <si>
    <t>Nr. apeluri in valul 2</t>
  </si>
  <si>
    <t>data_cati</t>
  </si>
  <si>
    <t>Data interviu CATI (ultimul apel)</t>
  </si>
  <si>
    <t>ora_cati</t>
  </si>
  <si>
    <t>Ora interviu CATI (ultimul apel)</t>
  </si>
  <si>
    <t>operator</t>
  </si>
  <si>
    <t>Operator CATI (ultimul apel)</t>
  </si>
  <si>
    <t>tipchest</t>
  </si>
  <si>
    <t>randomize</t>
  </si>
  <si>
    <t>ver1r</t>
  </si>
  <si>
    <t>Introducere respondent</t>
  </si>
  <si>
    <t>Respondentul este disponibil</t>
  </si>
  <si>
    <t>Respondentul nu este disponibil</t>
  </si>
  <si>
    <t>Respondentul nu este disponibil – ALT NUMAR DE TELEFON</t>
  </si>
  <si>
    <t>Nu exista persoana cautata la acel nUMAR</t>
  </si>
  <si>
    <t>ver1i</t>
  </si>
  <si>
    <t>Introducere intermediar</t>
  </si>
  <si>
    <t>Intermediarul e de acord sa cheme respondentul</t>
  </si>
  <si>
    <t>Intermediarul confirma datele dar nu poate chema respondentu</t>
  </si>
  <si>
    <t>Intermediarul nu confirma datele</t>
  </si>
  <si>
    <t>Alt numar de contact pentru respondent</t>
  </si>
  <si>
    <t>Alta situatie, CARE?</t>
  </si>
  <si>
    <t>refuza</t>
  </si>
  <si>
    <t>ver1ia</t>
  </si>
  <si>
    <t>Alta situatie</t>
  </si>
  <si>
    <t>ver2</t>
  </si>
  <si>
    <t>Acord continuare interviu</t>
  </si>
  <si>
    <t>Respondentul confirma si e de acord sa participe</t>
  </si>
  <si>
    <t>Respondentul confirma participarea dar nu e de acord sa rasp</t>
  </si>
  <si>
    <t>Respondentul nu confirma participarea la primul val de sonda</t>
  </si>
  <si>
    <t>Nu se poate confirma participarea, respondentul refuza orice</t>
  </si>
  <si>
    <t>recall</t>
  </si>
  <si>
    <t>Reprogramare interviu</t>
  </si>
  <si>
    <t>Accepta sa reprogrameze</t>
  </si>
  <si>
    <t>fraud</t>
  </si>
  <si>
    <t>Stiti daca altcineva din gospodarie a raspuns de curand la un chestionar pe teme politice?</t>
  </si>
  <si>
    <t>Da, a raspuns altcineva din gospodarie</t>
  </si>
  <si>
    <t>Nu, nu a raspuns nimeni</t>
  </si>
  <si>
    <t>Respondentul nu este bine informat/nu stie</t>
  </si>
  <si>
    <t>recall2</t>
  </si>
  <si>
    <t>Puteti va rog sa întrebati daca cineva din gospodarie îsi aminteste ca un coleg de-al nostru ar fi intrevievat pe cineva din familia dvs...?</t>
  </si>
  <si>
    <t>respondentul a putut fi identificat</t>
  </si>
  <si>
    <t>nici un interviu nu a fost confirmat, dar exista o sansa ca</t>
  </si>
  <si>
    <t>este sigur ca nici o persoana din gospodarie nu a fost inter</t>
  </si>
  <si>
    <t>int1</t>
  </si>
  <si>
    <t>Va rugam sa ne spuneti aproximativ cât timp ati raspuns întrebarilor operatorului nostru de interviu?</t>
  </si>
  <si>
    <t>mai putin de 10 minute</t>
  </si>
  <si>
    <t>10 - 15 minute</t>
  </si>
  <si>
    <t>15 – 20 minute</t>
  </si>
  <si>
    <t>nu-si aminteste</t>
  </si>
  <si>
    <t>20-30 de minute</t>
  </si>
  <si>
    <t>30-45 de minute</t>
  </si>
  <si>
    <t>peste 45 de minute</t>
  </si>
  <si>
    <t>int2</t>
  </si>
  <si>
    <t>Luând în considerare politetea, tinuta, modul în care ati fost tratat de operatorul nostru, va rugam sa dati acestuia o nota ...</t>
  </si>
  <si>
    <t>foarte nemultumit</t>
  </si>
  <si>
    <t>int3</t>
  </si>
  <si>
    <t>Ca sa verificam daca informatiile noastre sunt corecte, în ce localitate LOCUITI?</t>
  </si>
  <si>
    <t>Raspunsul coincide</t>
  </si>
  <si>
    <t>Raspunsul nu coincide</t>
  </si>
  <si>
    <t>an</t>
  </si>
  <si>
    <t>În ce an v-ati nascut?</t>
  </si>
  <si>
    <t>c1_a</t>
  </si>
  <si>
    <t>... politica, în general</t>
  </si>
  <si>
    <t>deloc interesat</t>
  </si>
  <si>
    <t>putin interesat</t>
  </si>
  <si>
    <t>destul de interesat</t>
  </si>
  <si>
    <t>foarte interesat</t>
  </si>
  <si>
    <t>c1_e</t>
  </si>
  <si>
    <t>... Alegerile Prezidentiale din 6 decembrie</t>
  </si>
  <si>
    <t>c1_f</t>
  </si>
  <si>
    <t>... rezultatele referendumului din 22 noiembrie 2009</t>
  </si>
  <si>
    <t>l1_a</t>
  </si>
  <si>
    <t>l1_b</t>
  </si>
  <si>
    <t>l1_c</t>
  </si>
  <si>
    <t>v1a_w2</t>
  </si>
  <si>
    <t>Multi oameni au lipsit de la vot la Alegerile Prezidentiale din 22 noiembrie 2009, în timp ce altii au votat. Dvs. ati votat la aceste alegeri?</t>
  </si>
  <si>
    <t>da, am votat</t>
  </si>
  <si>
    <t>nu, nu am votat</t>
  </si>
  <si>
    <t>v1b_w2</t>
  </si>
  <si>
    <t>La Alegerile Prezidentiale din 22 noiembrie 2009, turul 1 aproximativ  jumatate dintre cetatenii României NU au fost la vot. Care dintre urma...</t>
  </si>
  <si>
    <t>Sigur am votat</t>
  </si>
  <si>
    <t>De obicei votez, dar atunci nu am votat</t>
  </si>
  <si>
    <t>M-am gândit sa votez, dar nu am votat</t>
  </si>
  <si>
    <t>Nu am votat la alegerile prezidentiale din noiembrie</t>
  </si>
  <si>
    <t>v1_w2</t>
  </si>
  <si>
    <t>A fost la vot in turul 1</t>
  </si>
  <si>
    <t>v2c_w2</t>
  </si>
  <si>
    <t>Care este candidatul cu care ati votat la Alegerile Prezidentiale în turul 1?</t>
  </si>
  <si>
    <t>Nu am votat</t>
  </si>
  <si>
    <t>Am anulat votul</t>
  </si>
  <si>
    <t>v2d</t>
  </si>
  <si>
    <t>Când v-ati hotarât cu ce candidat sa votati la aceste alegeri?</t>
  </si>
  <si>
    <t>înainte de campania electorala</t>
  </si>
  <si>
    <t>în campania electorala în ultima luna</t>
  </si>
  <si>
    <t>în campania electorala în ultima saptamana</t>
  </si>
  <si>
    <t>în campania electorala în ziua votului</t>
  </si>
  <si>
    <t>dezb1</t>
  </si>
  <si>
    <t>Ati urmarit sau ati discutat cu cineva despre dezbaterea electorala din ultima zi de campanie, vineri, 20 noiembrie, dintre Traian Basescu,...</t>
  </si>
  <si>
    <t>Am urmarit si am discutat</t>
  </si>
  <si>
    <t>Am urmarit, dar nu am discutat</t>
  </si>
  <si>
    <t>Nu am urmarit, dar am discutat</t>
  </si>
  <si>
    <t>Nici nu am urmarit, nici nu am discutat</t>
  </si>
  <si>
    <t>dezb2</t>
  </si>
  <si>
    <t>Dezbaterea sau discutiile despre aceasta v-au modificat intentia de a merge sau nu la vot?</t>
  </si>
  <si>
    <t>v-a determinat sa mergeti la vot</t>
  </si>
  <si>
    <t>v-a determinat sa nu mergeti la vot</t>
  </si>
  <si>
    <t>nu v-a schimbat intentia initiala</t>
  </si>
  <si>
    <t>nu ati urmarit dezbaterea</t>
  </si>
  <si>
    <t>dezb3</t>
  </si>
  <si>
    <t>Dezbaterea sau discutiile despre aceasta v-au modificat optiunea de vot?</t>
  </si>
  <si>
    <t>v1ar</t>
  </si>
  <si>
    <t>Multi oameni au lipsit de la vot la Referendumul din 22 noiembrie 2009, în timp ce altii au votat. Dvs. ati votat la acest Referendum?</t>
  </si>
  <si>
    <t>v1br</t>
  </si>
  <si>
    <t>La Referendumul din 22 noiembrie 2009 aproximativ  jumatate dintre cetatenii României NU au fost la vot. Care dintre urmatoarele afirmatii s...</t>
  </si>
  <si>
    <t>Nu am votat la referendumul din noiembrie 2009</t>
  </si>
  <si>
    <t>v1r</t>
  </si>
  <si>
    <t>A votat la refrendum</t>
  </si>
  <si>
    <t>vv1_w2</t>
  </si>
  <si>
    <t>La întrebarea 'Sunteti de acord ca Parlamentul României sa fie format dintr-o singura camera?' ati votat DA sau NU?</t>
  </si>
  <si>
    <t>vv2_w2</t>
  </si>
  <si>
    <t>La întrebarea 'Sunteti de acord cu reducerea numarului de parlamentari?' ati votat DA sau NU?</t>
  </si>
  <si>
    <t>v1at2</t>
  </si>
  <si>
    <t>În turul 2 al alegerilor prezidentiale dvs. veti merge sigur la vot, probabil veti merge, probabil nu veti merge sau sigur nu veti merge la...</t>
  </si>
  <si>
    <t>v1bt2</t>
  </si>
  <si>
    <t>Din diferite motive, foarte probabil doar jumatate dintre alegatori vor merge la vot la alegerile prezidentiale, turul 2. Dvs. veti merge sigur ...</t>
  </si>
  <si>
    <t>v1t2</t>
  </si>
  <si>
    <t>Intentia de a merge la vot in turul 2</t>
  </si>
  <si>
    <t>v2_w2</t>
  </si>
  <si>
    <t>În acest moment stiti foarte sigur cu cine veti vota?</t>
  </si>
  <si>
    <t>v2cbis</t>
  </si>
  <si>
    <t>Care este candidatul cu care veti vota la Alegerile Prezidentiale în turul 2?</t>
  </si>
  <si>
    <t>Nu stiu / Indecis / Nu m-am hotarât înca</t>
  </si>
  <si>
    <t>v2c1_w2</t>
  </si>
  <si>
    <t>Preferinta dvs. pentru ANSWERFROM(V2CBIS) este ...?</t>
  </si>
  <si>
    <t>v2c2_w2</t>
  </si>
  <si>
    <t>Care este motivul pentru care veti vota cu acest candidat?</t>
  </si>
  <si>
    <t>doriti sa câstige acesta</t>
  </si>
  <si>
    <t>doriti sa nu câstige celalalt</t>
  </si>
  <si>
    <t>alt motiv</t>
  </si>
  <si>
    <t>v2ns_a</t>
  </si>
  <si>
    <t>... votati cu Mircea Geoana</t>
  </si>
  <si>
    <t>mentioneaza</t>
  </si>
  <si>
    <t>nu mentioneaza</t>
  </si>
  <si>
    <t>v2ns_b</t>
  </si>
  <si>
    <t>v2ns_c</t>
  </si>
  <si>
    <t>... sa nu puneti stampila pe niciun candidat</t>
  </si>
  <si>
    <t>v2ns_d</t>
  </si>
  <si>
    <t>v2ns_e</t>
  </si>
  <si>
    <t>v1nu_w2</t>
  </si>
  <si>
    <t>NC – sigur / probabil merge la vot</t>
  </si>
  <si>
    <t>v5_w2</t>
  </si>
  <si>
    <t>Cât de mare credeti ca va fi diferenta dintre câstigatorul si învinsul din turul 2 al alegerilor prezidentiale?</t>
  </si>
  <si>
    <t>l5</t>
  </si>
  <si>
    <t>Stiu ca e greu de spus de pe acum, dar totusi, cine credeti ca va fi urmatorul presedinte al României?</t>
  </si>
  <si>
    <t>l8</t>
  </si>
  <si>
    <t>În opinia dvs., la primul tur al alegerilor prezidentiale, din 22 noiembrie 2009, au existat fraude electorale sau nu?</t>
  </si>
  <si>
    <t>l8da</t>
  </si>
  <si>
    <t>În ce masura credeti ca fraudele au influentat rezultatul final?</t>
  </si>
  <si>
    <t>q3_w2</t>
  </si>
  <si>
    <t>Exista vreo formatiune politica în România care sa va reprezinte opiniile suficient de bine?</t>
  </si>
  <si>
    <t>q3a_w2</t>
  </si>
  <si>
    <t>q3a_coded</t>
  </si>
  <si>
    <t>PDL</t>
  </si>
  <si>
    <t>PSD</t>
  </si>
  <si>
    <t>PNL</t>
  </si>
  <si>
    <t>niciuna</t>
  </si>
  <si>
    <t>UDMR</t>
  </si>
  <si>
    <t>PRM</t>
  </si>
  <si>
    <t>PNG</t>
  </si>
  <si>
    <t>Altul</t>
  </si>
  <si>
    <t>co_1</t>
  </si>
  <si>
    <t>În actualul context politic, nici un partid nu poate forma singur Guvernul. Dintre urmatoarele variante de coalitie de guvernare, pe care o preferati:</t>
  </si>
  <si>
    <t>PDL-PNL</t>
  </si>
  <si>
    <t>PDL-PSD</t>
  </si>
  <si>
    <t>PSD-PNL</t>
  </si>
  <si>
    <t>Alta</t>
  </si>
  <si>
    <t>Nicio coalitie / Guvern minoritar</t>
  </si>
  <si>
    <t>timp_ok</t>
  </si>
  <si>
    <t>sub_a</t>
  </si>
  <si>
    <t>... Interesul respondentului pentru temele discutate</t>
  </si>
  <si>
    <t>00</t>
  </si>
  <si>
    <t>01</t>
  </si>
  <si>
    <t>02</t>
  </si>
  <si>
    <t>03</t>
  </si>
  <si>
    <t>08</t>
  </si>
  <si>
    <t>09</t>
  </si>
  <si>
    <t>04</t>
  </si>
  <si>
    <t>05</t>
  </si>
  <si>
    <t>06</t>
  </si>
  <si>
    <t>07</t>
  </si>
  <si>
    <t>10</t>
  </si>
  <si>
    <t>sub_b</t>
  </si>
  <si>
    <t>... Capacitatea respondentului de a întelege întrebarile</t>
  </si>
  <si>
    <t>sub_c</t>
  </si>
  <si>
    <t>... Capacitatea respondentului de a da un raspuns la întrebari</t>
  </si>
  <si>
    <t>sub_d</t>
  </si>
  <si>
    <t>... Nivelul de informare al respondentului pe teme de politica si alegeri</t>
  </si>
  <si>
    <t>obs</t>
  </si>
  <si>
    <t>OPERATOR, ai vreo remarca în legatura cu interviul?</t>
  </si>
  <si>
    <t>obstxt</t>
  </si>
  <si>
    <t xml:space="preserve"> OBSERVATIE</t>
  </si>
  <si>
    <t>VALUL3</t>
  </si>
  <si>
    <t>=============SEPARATOR VALUL 3=========</t>
  </si>
  <si>
    <t>DOSAR</t>
  </si>
  <si>
    <t>Cod dosar / PSU</t>
  </si>
  <si>
    <t>CODR</t>
  </si>
  <si>
    <t>Cod respondent de pe fisa</t>
  </si>
  <si>
    <t>D1_W3</t>
  </si>
  <si>
    <t>D2_W3</t>
  </si>
  <si>
    <t>D3_W3</t>
  </si>
  <si>
    <t>D4_W3</t>
  </si>
  <si>
    <t>D6D_W3</t>
  </si>
  <si>
    <t>In urmatorii 5 ani, credeti ca economia Romaniei ...va merge mai bine, mai rau sau la fel?</t>
  </si>
  <si>
    <t>D6F_W3</t>
  </si>
  <si>
    <t>In urmatorii 5 ani, credeti ca situatia dvs. economica ...va fi mai buna, mai rea sau la fel?</t>
  </si>
  <si>
    <t>D9I1_W3</t>
  </si>
  <si>
    <t>Pe o scala de la 0 la 10, unde 0 inseamna FOARTE NEMULTUMIT iar 10 FOARTE MULTUMIT cat de nemultumit sau multumit sunteti de ...? viata dvs. in general</t>
  </si>
  <si>
    <t>D9I2_W3</t>
  </si>
  <si>
    <t>D9I3_W3</t>
  </si>
  <si>
    <t>D9I4_W3</t>
  </si>
  <si>
    <t>D9I5_W3</t>
  </si>
  <si>
    <t>D9I6_W3</t>
  </si>
  <si>
    <t>D9I7_W3</t>
  </si>
  <si>
    <t>D9I8_W3</t>
  </si>
  <si>
    <t>D9I9_W3</t>
  </si>
  <si>
    <t>XA</t>
  </si>
  <si>
    <t>O sa va citesc TREI afirmatii. Va rog sa-mi spuneti cate dintre acestea sunt adevarate in cazul dvs. Nu ma intereseaza sa-mi spuneti care afirmatii sunt adevarate si care nu, ci doar cate dintre ele sunt adevarate in cazul dvs.</t>
  </si>
  <si>
    <t>XB</t>
  </si>
  <si>
    <t>O sa va citesc PATRU afirmatii. Va rog sa-mi spuneti câte dintre acestea sunt adevarate în cazul dvs. Nu ma intereseaza sa-mi spuneti care afirmatii sunt adevarate si care nu, ci doar câte dintre ele sunt adevarate în cazul dvs.</t>
  </si>
  <si>
    <t>XC</t>
  </si>
  <si>
    <t>Q1A_w3</t>
  </si>
  <si>
    <t>Care a fost cea mai importanta tema a alegerilor prezidentiale pentru dumneavoastra personal?</t>
  </si>
  <si>
    <t>Q1B_w3</t>
  </si>
  <si>
    <t>Dar cea de-a doua ca importanta?</t>
  </si>
  <si>
    <t>Q2A</t>
  </si>
  <si>
    <t>Care credeti ca este cea mai importanta problema politica cu care se confrunta Romania astazi?</t>
  </si>
  <si>
    <t>Q2B</t>
  </si>
  <si>
    <t>Dar cea de-a doua in ordinea importantei?</t>
  </si>
  <si>
    <t>Q3A_w3</t>
  </si>
  <si>
    <t>Gandindu-va la cea mai importanta problema politica cu care se confrunta Romania, care dintre candidatii din turul 1 de la alegerile prezidentiale credeti ca este cel mai potrivit pentru a o rezolva?</t>
  </si>
  <si>
    <t>Nici unul dintre candidati</t>
  </si>
  <si>
    <t>Q3B</t>
  </si>
  <si>
    <t>Dar a doua problema?</t>
  </si>
  <si>
    <t>Q4_w3</t>
  </si>
  <si>
    <t>Unii oameni spun ca nu are nici o importanta cine este la putere. Altii spun ca are o foarte mare importanta cine este la putere. Dumneavoastra unde v-ati plasa pe o scala de la 1 la 5, unde 1 inseamna ca nu are nici o importanta cine este la putere si 5 i</t>
  </si>
  <si>
    <t>Nu are nici o importanta cine este la putere</t>
  </si>
  <si>
    <t>Are o foarte mare importanta cine este la putere</t>
  </si>
  <si>
    <t>Q5</t>
  </si>
  <si>
    <t>Unii oameni spun ca modul in care voteaza oamenii nu are nici o importanta pentru cum vor merge lucrurile. Altii spun ca modul in care voteaza oamenii are o importanta foarte mare pentru cum vor merge lucrurile. Dumneavoastra unde v-ati plasa pe o scala de</t>
  </si>
  <si>
    <t>Votul nu are nici o importanta pentru cum vor merge lucruril</t>
  </si>
  <si>
    <t>Votul are o foarte mare importanta pentru cum vor merge lucr</t>
  </si>
  <si>
    <t>Q6_W3</t>
  </si>
  <si>
    <t>Ganditi-va la activitatea presedintelui Traian Basescu de-a lungul ultimilor cinci ani. Credeti ca in ultimii cinci ani presedintele a facut o treaba buna sau o treaba proasta? A facut o treaba foarte buna? O treaba buna? O treaba proasta? O treaba foarte</t>
  </si>
  <si>
    <t>O treaba foarte buna</t>
  </si>
  <si>
    <t>O treaba buna</t>
  </si>
  <si>
    <t>O treaba proasta</t>
  </si>
  <si>
    <t>O treaba foarte proasta</t>
  </si>
  <si>
    <t>Q7_W3</t>
  </si>
  <si>
    <t>Q7A_W3</t>
  </si>
  <si>
    <t>Q8</t>
  </si>
  <si>
    <t>Indiferent de ceea ce simtiti in legatura cu partidele politice, a existat vreun candidat la ultimele alegeri prezidentiale care sa va reprezinte opiniile suficient de bine?</t>
  </si>
  <si>
    <t>Q8A</t>
  </si>
  <si>
    <t>Care candidat la alegerile prezidentiale va reprezinta/v-a reprezentat cel mai bine opiniile?</t>
  </si>
  <si>
    <t>Q9A</t>
  </si>
  <si>
    <t>Am dori sa stim ce parere aveti despre principalele partide politice. Va voi citi unul cate unul numele acestora, cu rugamintea sa il evaluati pe fiecare pe o scala de la 0 la 10, unde 0 inseamna ca acel partid politic nu va place deloc, iar 10 ca va place</t>
  </si>
  <si>
    <t>Nu am auzit</t>
  </si>
  <si>
    <t>Nu stiu destule despre el / Nu stiu unde sa il plasez</t>
  </si>
  <si>
    <t>Q9B</t>
  </si>
  <si>
    <t>Q9C</t>
  </si>
  <si>
    <t>Q9D</t>
  </si>
  <si>
    <t>Q9E</t>
  </si>
  <si>
    <t>Q9F</t>
  </si>
  <si>
    <t>PNG-CD</t>
  </si>
  <si>
    <t>Q10A_W3</t>
  </si>
  <si>
    <t>Dar ce credeti despre principalii candidati la alegerile prezidentiale/lideri de partid? Va voi citi unul cate unul numele acestora, cu rugamintea sa ii plasati pe o scala de la 0 la 10, unde 0 inseamna ca acel candidat nu va place deloc, iar 10 ca va plac</t>
  </si>
  <si>
    <t>Q10B_W3</t>
  </si>
  <si>
    <t>Q10C_W3</t>
  </si>
  <si>
    <t>Q10D_W3</t>
  </si>
  <si>
    <t>Q10E_W3</t>
  </si>
  <si>
    <t>Q10F_W3</t>
  </si>
  <si>
    <t>Q10G_W3</t>
  </si>
  <si>
    <t>Q11A</t>
  </si>
  <si>
    <t>In politica se vorbeste uneori despre stanga si dreapta. Dvs. unde ati plasa … (partid) … pe o scala de la 0 la 10, unde 0 inseamna stanga si 10 inseamna dreapta? Folosind aceeasi scala, unde ati plasa...? PSD</t>
  </si>
  <si>
    <t>Nu am auzit de acesta</t>
  </si>
  <si>
    <t>Nu stiu unde sa il plasez</t>
  </si>
  <si>
    <t>Nu am auzit de stanga si de dreapta</t>
  </si>
  <si>
    <t>Q11B</t>
  </si>
  <si>
    <t>Q11C</t>
  </si>
  <si>
    <t>Q11D</t>
  </si>
  <si>
    <t>Q11E</t>
  </si>
  <si>
    <t>Q11F</t>
  </si>
  <si>
    <t>Q12A</t>
  </si>
  <si>
    <t>Din nou, folosind aceeasi scala, unde l-ati plasa pe... Mircea Geoana?</t>
  </si>
  <si>
    <t>Q12B</t>
  </si>
  <si>
    <t>Q12C</t>
  </si>
  <si>
    <t>Q12D</t>
  </si>
  <si>
    <t>Q12E</t>
  </si>
  <si>
    <t>Q12F</t>
  </si>
  <si>
    <t>Q12G</t>
  </si>
  <si>
    <t>Q13_W3</t>
  </si>
  <si>
    <t>Dumneavoastra unde v-ati plasa pe aceasta scala?</t>
  </si>
  <si>
    <t>Q17</t>
  </si>
  <si>
    <t>In cazul campaniei electorale care tocmai s-a incheiat, credeti ca diferentele dintre candidati au fost mai degraba mari, mai degraba mici sau nu au existat deloc?</t>
  </si>
  <si>
    <t>Au existat diferente mari</t>
  </si>
  <si>
    <t>Diferentele au fost mici</t>
  </si>
  <si>
    <t>Nu au existat deloc diferente</t>
  </si>
  <si>
    <t>Q18</t>
  </si>
  <si>
    <t>Cat de atent/-a ati urmarit campania electorala?</t>
  </si>
  <si>
    <t>Foarte atent</t>
  </si>
  <si>
    <t>Destul de atent</t>
  </si>
  <si>
    <t>Nu prea atent</t>
  </si>
  <si>
    <t>Deloc atent</t>
  </si>
  <si>
    <t>Q19</t>
  </si>
  <si>
    <t>In general sunteti foarte multumit, destul de multumit, nu prea multumit sau deloc multumit cu modul in care democratia functioneaza in Romania?</t>
  </si>
  <si>
    <t>Q20</t>
  </si>
  <si>
    <t>Q20A</t>
  </si>
  <si>
    <t>Exista totusi o formatiune politica de care va simtiti mai apropiat decat de celelalte?</t>
  </si>
  <si>
    <t>Q20B</t>
  </si>
  <si>
    <t>Q20C_w3</t>
  </si>
  <si>
    <t>Cat de apropiat va simtiti de aceasta formatiune politica? Foarte apropiat? Oarecum apropiat? Nu foarte apropiat?</t>
  </si>
  <si>
    <t>Q21XA</t>
  </si>
  <si>
    <t>Din diferite motive, multi oameni au lipsit de la vot la turul 1 al Alegerilor Prezidentiale din 22 noiembrie 2009, in timp ce altii au votat. Care dintre urmatoarele afirmatii se potriveste in cazul dvs.?</t>
  </si>
  <si>
    <t>Nu am votat la turul 1 al alegerilor prezidentiale din 22 no</t>
  </si>
  <si>
    <t>M-am gandit sa votez de aceasta data, dar nu am votat</t>
  </si>
  <si>
    <t>De obicei votez, dar de aceasta data nu am votat</t>
  </si>
  <si>
    <t>Sunt sigur ca am votat</t>
  </si>
  <si>
    <t>Q21XB</t>
  </si>
  <si>
    <t>Din diferite motive, aproximativ jumatate dintre oameni au lipsit de la vot la turul 1 al Alegerilor Prezidentiale din 22 noiembrie 2009, în timp ce altii au votat. Care dintre urmatoarele afirmatii se potriveste în cazul dvs.?</t>
  </si>
  <si>
    <t>Q21XC</t>
  </si>
  <si>
    <t>Din diferite motive, aproximativ unul din doi oameni a lipsit de la vot la turul 1 al Alegerilor Prezidentiale din 22 noiembrie 2009, în timp ce altii au votat. Care dintre urmatoarele afirmatii se potriveste în cazul dvs.?</t>
  </si>
  <si>
    <t>Q21XX</t>
  </si>
  <si>
    <t>Participare declarata la vot - turul 1</t>
  </si>
  <si>
    <t>Q21A</t>
  </si>
  <si>
    <t>Daca ati fi votat, pentru care candidat sau candidati ati fi votat la turul 1?</t>
  </si>
  <si>
    <t>Q21B</t>
  </si>
  <si>
    <t>Cu cine ati votat pentru presedinte la turul 1?</t>
  </si>
  <si>
    <t>Q22A</t>
  </si>
  <si>
    <t>V-ati gandit sa votati pentru vreun alt candidat sau candidati la turul 1?</t>
  </si>
  <si>
    <t>Q22B</t>
  </si>
  <si>
    <t>Pentru care candidat sau candidati v-ati gandit sa votati?</t>
  </si>
  <si>
    <t>Q22C</t>
  </si>
  <si>
    <t>La aceste alegeri a existat vreun candidat sau candidati pentru care NU ati vota niciodata?</t>
  </si>
  <si>
    <t>Q22D</t>
  </si>
  <si>
    <t>Care sunt acesti candidati?</t>
  </si>
  <si>
    <t>Q23XA</t>
  </si>
  <si>
    <t>Din diferite motive, multi oameni au lipsit de la vot la turul 2 al Alegerilor Prezidentiale din 6 decembrie 2009, in timp ce altii au votat. Care dintre urmatoarele afirmatii se potriveste in cazul dvs.?</t>
  </si>
  <si>
    <t>Nu am votat la turul 2 al alegerilor prezidentiale din 6 dec</t>
  </si>
  <si>
    <t>Q23XB</t>
  </si>
  <si>
    <t>Din diferite motive, aproximativ jumatate dintre oameni au lipsit de la vot la turul 2 al Alegerilor Prezidentiale din 6 decembrie 2009, în timp ce altii au votat. Care dintre urmatoarele afirmatii se potriveste în cazul dvs.?</t>
  </si>
  <si>
    <t>Q23XC</t>
  </si>
  <si>
    <t>Din diferite motive, aproximativ unul din doi oameni a lipsit de la vot la turul 2 al Alegerilor Prezidentiale din 6 decembrie 2009, în timp ce altii au votat. Care dintre urmatoarele afirmatii se potriveste în cazul dvs.?</t>
  </si>
  <si>
    <t>Q23XX</t>
  </si>
  <si>
    <t>Participare declarata la vot - turul 2</t>
  </si>
  <si>
    <t>Q24A</t>
  </si>
  <si>
    <t>Daca ati fi votat, pentru care candidat ati fi votat la turul 2?</t>
  </si>
  <si>
    <t>Nu as fi votat</t>
  </si>
  <si>
    <t>Q24B</t>
  </si>
  <si>
    <t>Cu cine ati votat pentru presedinte la turul 2?</t>
  </si>
  <si>
    <t>Q25XA</t>
  </si>
  <si>
    <t>Din diferite motive, multi oameni au lipsit de la vot la Alegerilor Parlamentare din noiembrie 2008, in timp ce altii au votat. Care dintre urmatoarele afirmatii se potriveste in cazul dvs.?</t>
  </si>
  <si>
    <t>Nu am votat la alegerile parlamentare din noiembrie 2008</t>
  </si>
  <si>
    <t>M-am gandit sa votez, dar nu am votat</t>
  </si>
  <si>
    <t>Nu am avut drept de vot</t>
  </si>
  <si>
    <t>Q25XB</t>
  </si>
  <si>
    <t>Din diferite motive, aproximativ jumatate dintre oameni au lipsit de la vot la Alegerilor Parlamentare din noiembrie 2008, în timp ce altii au votat. Care dintre urmatoarele afirmatii se potriveste în cazul dvs.?</t>
  </si>
  <si>
    <t>Q25XC</t>
  </si>
  <si>
    <t>Din diferite motive, aproximativ unul din doi oameni a lipsit de la vot la Alegerilor Parlamentare din noiembrie 2008, în timp ce altii au votat. Care dintre urmatoarele afirmatii se potriveste în cazul dvs.?</t>
  </si>
  <si>
    <t>Q25XX</t>
  </si>
  <si>
    <t>Participare declarata la vot - Alegerile Parlamentare 2008</t>
  </si>
  <si>
    <t>Q25B</t>
  </si>
  <si>
    <t>Care este partidul sau candidatul cu care ati votat la Alegerile Parlamentare din noiembrie 2008?</t>
  </si>
  <si>
    <t>Alianta PSD+PC (PSD+PC)</t>
  </si>
  <si>
    <t>Un candidat independent</t>
  </si>
  <si>
    <t>Partidul Noua Generatie, Crestin Democrat (PNG-CD)</t>
  </si>
  <si>
    <t>Alt partid</t>
  </si>
  <si>
    <t>Nu imi amintesc / Nu stiu</t>
  </si>
  <si>
    <t>Q26T1</t>
  </si>
  <si>
    <t>Va rog sa va ganditi la ziua Alegerilor Prezidentiale din noiembrie 2004, turul 1. Care dintre urmatoarele afirmatii se potriveste in cazul dvs.?</t>
  </si>
  <si>
    <t>Nu am votat la turul 1 al Alegerilor Prezidentiale din noiem</t>
  </si>
  <si>
    <t>Q26T1A</t>
  </si>
  <si>
    <t>Care este candidatul cu care ati votat la Alegerile Prezidentiale din noiembrie 2004 turul 1?</t>
  </si>
  <si>
    <t>Adrian Nastase</t>
  </si>
  <si>
    <t>Gigi Becali</t>
  </si>
  <si>
    <t>Marko Bela</t>
  </si>
  <si>
    <t>Q26T2</t>
  </si>
  <si>
    <t>Va rog sa va ganditi la ziua Alegerilor Prezidentiale din decembrie 2004, turul 2. Care dintre urmatoarele afirmatii se potriveste in cazul dvs.?</t>
  </si>
  <si>
    <t>Nu am votat la turul 2 al Alegerilor Prezidentiale din noiem</t>
  </si>
  <si>
    <t>Q26T2A</t>
  </si>
  <si>
    <t>Care este candidatul cu care ati votat la Alegerile Prezidentiale din noiembrie 2004 turul 2?</t>
  </si>
  <si>
    <t>Q27A</t>
  </si>
  <si>
    <t>Din cate stiti dvs., urmatoarele afirmatii sunt adevarate sau false? In Romania, sectiile de votare se inchid la ora noua seara</t>
  </si>
  <si>
    <t>Q27B</t>
  </si>
  <si>
    <t>Conform legii, campaniile electorale din Romania incep cu 30 de zile inainte de alegeri</t>
  </si>
  <si>
    <t>Q27C</t>
  </si>
  <si>
    <t>Statele Uniunii Europene au acelasi numar de parlamentari in Parlamentul European</t>
  </si>
  <si>
    <t>C1_W3</t>
  </si>
  <si>
    <t>Cat de interesat sunteti de politica in general...?</t>
  </si>
  <si>
    <t>Nu prea interesat</t>
  </si>
  <si>
    <t>E1</t>
  </si>
  <si>
    <t>Cat de interesat ati fost in legatura cu campania pentru alegerile prezidentiale: foarte interesat, destul de interesat, nu prea interesat sau deloc interesat?</t>
  </si>
  <si>
    <t>E2A</t>
  </si>
  <si>
    <t>In timpul campaniei electorale pentru Alegerile Prezidentiale, cat de des ...: ati urmarit un program TV legat de alegeri?</t>
  </si>
  <si>
    <t>Zilnic / aproape zilnic</t>
  </si>
  <si>
    <t>De cateva ori in toata campania</t>
  </si>
  <si>
    <t>O singura data</t>
  </si>
  <si>
    <t>E2B</t>
  </si>
  <si>
    <t>... ati citit informatii despre alegeri intr-un ziar?</t>
  </si>
  <si>
    <t>E2C</t>
  </si>
  <si>
    <t>... ati ascultat emisiuni despre alegeri la radio?</t>
  </si>
  <si>
    <t>E2D</t>
  </si>
  <si>
    <t>... ati discutat despre alegeri cu prietenii sau familia?</t>
  </si>
  <si>
    <t>E2E</t>
  </si>
  <si>
    <t>... ati accesat o pagina internet despre alegeri?</t>
  </si>
  <si>
    <t>E3A</t>
  </si>
  <si>
    <t>In timpul campaniei electorale pentru Alegerile Prezidentiale, ...: ati participat la un miting sau o intalnire legata de alegeri?</t>
  </si>
  <si>
    <t>E3B</t>
  </si>
  <si>
    <t>... ati lucrat voluntar in favoarea unui candidat?</t>
  </si>
  <si>
    <t>E3C</t>
  </si>
  <si>
    <t>... ati donat bani pentru un candidat?</t>
  </si>
  <si>
    <t>E3BA</t>
  </si>
  <si>
    <t>Ati fost contactat de vreun candidat, partid sau reprezentant al acestora pe perioada campaniei electorale prin ...? Prin posta (scrisori, pliante, fluturasi, etc.)</t>
  </si>
  <si>
    <t>E3BB</t>
  </si>
  <si>
    <t>Fata in fata, pe strada, in centre comerciale sau in alte locuri publice</t>
  </si>
  <si>
    <t>E3BC</t>
  </si>
  <si>
    <t>Fata in fata, la locuinta dvs.</t>
  </si>
  <si>
    <t>E3BD</t>
  </si>
  <si>
    <t>Telefonic, v-a sunat sau v-a trimis mesaje (SMS)</t>
  </si>
  <si>
    <t>E3BE</t>
  </si>
  <si>
    <t>E-mail</t>
  </si>
  <si>
    <t>E3BF</t>
  </si>
  <si>
    <t>Site-uri de socializare (MySpace, Facebook, Hi5, Twitter, etc.)</t>
  </si>
  <si>
    <t>E7A</t>
  </si>
  <si>
    <t>In aceasta campanie ati fost contactat de cineva din partea unui partid, candidat sau organizatii politice pentru a va convinge sa mergeti la vot?</t>
  </si>
  <si>
    <t>E8A</t>
  </si>
  <si>
    <t>In aceasta campanie cineva dintre persoanele apropiate de dvs. (familie, prieteni), a incercat sa va convinga sa mergeti la vot?</t>
  </si>
  <si>
    <t>E9A</t>
  </si>
  <si>
    <t>In aceasta campanie altcineva (primar / consilier local, preot, invatator, profesor, jurnalist) a incercat sa va convinga sa sa mergeti la vot?</t>
  </si>
  <si>
    <t>E7B</t>
  </si>
  <si>
    <t>...sa participati la o adunare publica sau un miting legat de alegeri</t>
  </si>
  <si>
    <t>E8B</t>
  </si>
  <si>
    <t>E9B</t>
  </si>
  <si>
    <t>E7C</t>
  </si>
  <si>
    <t>...sa lucrati voluntar in favoarea unui candidat</t>
  </si>
  <si>
    <t>E8C</t>
  </si>
  <si>
    <t>E9C</t>
  </si>
  <si>
    <t>E7D</t>
  </si>
  <si>
    <t>...sa donati bani pentru un candidat</t>
  </si>
  <si>
    <t>E8D</t>
  </si>
  <si>
    <t>E9D</t>
  </si>
  <si>
    <t>E7E</t>
  </si>
  <si>
    <t>...sa votati cu un anumit candidat</t>
  </si>
  <si>
    <t>E8E</t>
  </si>
  <si>
    <t>E9E</t>
  </si>
  <si>
    <t>CAREA</t>
  </si>
  <si>
    <t>Care dintre urmatoarele lucruri le-ati face gratuit pentru candidatul preferat? ati atarna un afis al candidatului la fereastra</t>
  </si>
  <si>
    <t>CAREB</t>
  </si>
  <si>
    <t>ati lipi afise sau ati distribui materiale electorale pentru acest candidat</t>
  </si>
  <si>
    <t>CAREC</t>
  </si>
  <si>
    <t>ati participa la o intrunire a acestui candidat</t>
  </si>
  <si>
    <t>CARED</t>
  </si>
  <si>
    <t>ati lua partea acestui candidat in fata unor persoane necunoscute</t>
  </si>
  <si>
    <t>V2D_w3</t>
  </si>
  <si>
    <t>Cand v-ati hotarat cu ce candidat sa votati la turul 2 al alegerilor prezidentiale?</t>
  </si>
  <si>
    <t>inainte de campania electorala</t>
  </si>
  <si>
    <t>in campania electorala inainte de turul 1</t>
  </si>
  <si>
    <t>in campania electorala dupa turul 1</t>
  </si>
  <si>
    <t>in campania electorala in ziua votului</t>
  </si>
  <si>
    <t>DEZB1_w3</t>
  </si>
  <si>
    <t>Ati urmarit sau ati discutat cu cineva despre dezbaterea electorala din ultima saptamana de campanie dintre Traian Basescu si Mircea Geoana?</t>
  </si>
  <si>
    <t>DEZB2_w3</t>
  </si>
  <si>
    <t>v-au determinat sa mergeti la vot</t>
  </si>
  <si>
    <t>v-au determinat sa nu mergeti la vot</t>
  </si>
  <si>
    <t>nu v-au schimbat intentia initiala</t>
  </si>
  <si>
    <t>DEZB3_w3</t>
  </si>
  <si>
    <t>ANT1</t>
  </si>
  <si>
    <t>Dupa primul tur al alegerilor, candidatul PNL Crin Antonescu si-a anuntat sustinerea pentru candidatul PSD Mircea Geoana. Dumneavoastra ati auzit pana acum de acest lucru sau nu?</t>
  </si>
  <si>
    <t>Am auzit</t>
  </si>
  <si>
    <t>ANT2A</t>
  </si>
  <si>
    <t>Anuntul lui Antonescu privind sustinerea lui Geoana… v-a schimbat decizia de a participa sau nu la vot in turul 2 al alegerilor?</t>
  </si>
  <si>
    <t>ANT2B</t>
  </si>
  <si>
    <t>… v-a modificat optiunea pentru turul 2 al alegerilor?</t>
  </si>
  <si>
    <t>JOH1</t>
  </si>
  <si>
    <t>Mircea Geoana (PSD) si Crin Antonescu (PNL) au semnat o intelegere pentru sustinerea lui Klaus Johannis ca prim-ministru al Romaniei. Dumneavoastra ati auzit pana acum de acest lucru sau nu?</t>
  </si>
  <si>
    <t>JOH2A</t>
  </si>
  <si>
    <t>Intelegerea privind sustinerea lui Johannis… este un lucru bun pentru Romania sau nu?</t>
  </si>
  <si>
    <t>JOH2B</t>
  </si>
  <si>
    <t>... v-a schimbat decizia de a participa sau nu la vot in turul 2 al alegerilor?</t>
  </si>
  <si>
    <t>JOH2C</t>
  </si>
  <si>
    <t>FILM1</t>
  </si>
  <si>
    <t>Intre cele doua tururi de alegeri Traian Basescu a fost acuzat ca a lovit un copil in timpul unui miting electoral din 2004, pe baza unui film facut cu aceasta ocazie. Traian Basescu sustine ca filmul este trucat. Dumneavoastra ati auzit pana acum de acest</t>
  </si>
  <si>
    <t>FILM2</t>
  </si>
  <si>
    <t>Ati vazut filmul acuzator sau nu?</t>
  </si>
  <si>
    <t>L-am vazut</t>
  </si>
  <si>
    <t>Nu l-am vazut</t>
  </si>
  <si>
    <t>FILM3</t>
  </si>
  <si>
    <t>Credeti ca filmul este trucat sau autentic?</t>
  </si>
  <si>
    <t>Este trucat</t>
  </si>
  <si>
    <t>Este autentic</t>
  </si>
  <si>
    <t>FILM4A</t>
  </si>
  <si>
    <t>Acuzatiile la adresa lui Traian Basescu… v-au schimbat decizia de a participa sau nu la vot in turul 2 al alegerilor?</t>
  </si>
  <si>
    <t>FILM4B</t>
  </si>
  <si>
    <t>… v-au modificat optiunea pentru turul 2 al alegerilor?</t>
  </si>
  <si>
    <t>CM1A_W3</t>
  </si>
  <si>
    <t>Intr-o saptamana obisnuita, in cate din cele sapte zile ale saptamanii ...? va uitati la posturi de televiziune locale (inclusiv pe Internet)</t>
  </si>
  <si>
    <t>CM1B_W3</t>
  </si>
  <si>
    <t>... va uitati la posturi de televiziune nationale (inclusiv pe Internet)</t>
  </si>
  <si>
    <t>CM1C_W3</t>
  </si>
  <si>
    <t>... ascultati posturi de radio locale (inclusiv pe Internet)</t>
  </si>
  <si>
    <t>CM1D_W3</t>
  </si>
  <si>
    <t>... ascultati posturi de radio nationale (inclusiv pe Internet)</t>
  </si>
  <si>
    <t>CM1E_W3</t>
  </si>
  <si>
    <t>... cititi / rasfoiti ziare locale (inclusiv pe Internet)</t>
  </si>
  <si>
    <t>CM1F_W3</t>
  </si>
  <si>
    <t>... cititi / rasfoiti ziare centrale (inclusiv pe Internet)</t>
  </si>
  <si>
    <t>CM1G_W3</t>
  </si>
  <si>
    <t>... cititi PAGINI Internet de stiri</t>
  </si>
  <si>
    <t>CM3A</t>
  </si>
  <si>
    <t>Intr-o saptamana obisnuita, in cate din cele sapte zile ale saptamanii va uitati la un program de stiri de la ...? TVR 1</t>
  </si>
  <si>
    <t>CM3B</t>
  </si>
  <si>
    <t>ProTV</t>
  </si>
  <si>
    <t>CM3C</t>
  </si>
  <si>
    <t>Antena 1 sau 3</t>
  </si>
  <si>
    <t>CM3D</t>
  </si>
  <si>
    <t>Realitatea TV</t>
  </si>
  <si>
    <t>CM3E</t>
  </si>
  <si>
    <t>OTV</t>
  </si>
  <si>
    <t>CM3F</t>
  </si>
  <si>
    <t>Alt post</t>
  </si>
  <si>
    <t>CM4A</t>
  </si>
  <si>
    <t>In general oamenii sunt atenti la diferite parti ale programelor de stiri de la televizor. Cand v-ati uitat la stiri, cata atentie ati acordat stirilor despre ...? situatia economica</t>
  </si>
  <si>
    <t>foarte putina/ deloc</t>
  </si>
  <si>
    <t>putina</t>
  </si>
  <si>
    <t>multa</t>
  </si>
  <si>
    <t>foarte multa</t>
  </si>
  <si>
    <t>CM4B</t>
  </si>
  <si>
    <t>... situatia politica</t>
  </si>
  <si>
    <t>CM4C</t>
  </si>
  <si>
    <t>... campania electorala</t>
  </si>
  <si>
    <t>CM5A</t>
  </si>
  <si>
    <t>Considerati ca modul in care urmatoarele posturi TV au reflectat campania electorala a favorizat unul sau mai multi candidati, sau pe nici unul? TVR 1</t>
  </si>
  <si>
    <t>Nu a favorizat pe nimeni</t>
  </si>
  <si>
    <t>L-a favorizat pe Traian Basescu</t>
  </si>
  <si>
    <t>L-a favorizat pe Mircea Geoana</t>
  </si>
  <si>
    <t>L-a favorizat pe Crin Antonescu</t>
  </si>
  <si>
    <t>A favorizat alt candidat</t>
  </si>
  <si>
    <t>CM5B</t>
  </si>
  <si>
    <t>CM5C</t>
  </si>
  <si>
    <t>CM5D</t>
  </si>
  <si>
    <t>CM5E</t>
  </si>
  <si>
    <t>CM5F</t>
  </si>
  <si>
    <t>CM6A</t>
  </si>
  <si>
    <t>Pe o scala de la 0 la 10, unde 0 inseamna ”deloc” si 10 inseamna ”in totalitate”, considerati ca programele de stiri ale posturilor televiziune din Romania ....? sunt interesante</t>
  </si>
  <si>
    <t>CM6B</t>
  </si>
  <si>
    <t>... ofera informatia de care aveti nevoie</t>
  </si>
  <si>
    <t>CM6C</t>
  </si>
  <si>
    <t>... prezinta faptele asa cum se intampla de fapt</t>
  </si>
  <si>
    <t>CM6D</t>
  </si>
  <si>
    <t>... favorizeaza anumite partide sau candidati</t>
  </si>
  <si>
    <t>CM6E</t>
  </si>
  <si>
    <t>... sunt profesioniste</t>
  </si>
  <si>
    <t>MM1A</t>
  </si>
  <si>
    <t>. Am sa va citesc o serie de afirmatii despre mass-media (TV, radio, ziare) si am sa va rog sa imi spuneti in ce masura sunteti de acord cu fiecare din ele. Mass-media… este importanta pentru functionarea democratiei in Romania</t>
  </si>
  <si>
    <t>MM1B</t>
  </si>
  <si>
    <t>influenteaza continutul hotararilor importante pentru Romania pe care le iau oamenii politici</t>
  </si>
  <si>
    <t>MM1C</t>
  </si>
  <si>
    <t>trebuie sa ofere informatii despre evenimente nu sa le comenteze</t>
  </si>
  <si>
    <t>MM1D</t>
  </si>
  <si>
    <t>trebuie sa critice puterea politica</t>
  </si>
  <si>
    <t>MM1E</t>
  </si>
  <si>
    <t>private trebuie sa tina cont de interesele patronilor</t>
  </si>
  <si>
    <t>MM2A</t>
  </si>
  <si>
    <t>In ce masura considerati ca ...? mass media (tv, radio, ziare) din Romania servesc interesele cetatenilor</t>
  </si>
  <si>
    <t>In foarte mica masura / deloc</t>
  </si>
  <si>
    <t>In mica masura</t>
  </si>
  <si>
    <t>In mare masura</t>
  </si>
  <si>
    <t>MM2B</t>
  </si>
  <si>
    <t>... mass media contribuie la combaterea coruptiei</t>
  </si>
  <si>
    <t>MM2C</t>
  </si>
  <si>
    <t>... jurnalistii din Romania sunt bine pregatiti profesional</t>
  </si>
  <si>
    <t>MM2D</t>
  </si>
  <si>
    <t>... mass media este libera sa publice si sa spuna tot ce vrea</t>
  </si>
  <si>
    <t>MM2E</t>
  </si>
  <si>
    <t>... jurnalistii si politicienii urmaresc interese comune</t>
  </si>
  <si>
    <t>MM3</t>
  </si>
  <si>
    <t>Dupa parerea dvs., televiziunile, radiourile si ziarele trebuie sa fie in proprietatea statului sau in proprietate privata?</t>
  </si>
  <si>
    <t>Doar de stat</t>
  </si>
  <si>
    <t>Mai mult de stat decat privata</t>
  </si>
  <si>
    <t>Mai mult privata decat de stat</t>
  </si>
  <si>
    <t>Doar privata</t>
  </si>
  <si>
    <t>E10A</t>
  </si>
  <si>
    <t>Din cate stiti dvs., cam cati dintre ... au fost la vot la turul 1 al Alegerilor Prezidentiale? ...membrii familiei dvs. si rudele apropiate</t>
  </si>
  <si>
    <t>toti / majoritatea</t>
  </si>
  <si>
    <t>cam trei sferturi</t>
  </si>
  <si>
    <t>cam jumatate</t>
  </si>
  <si>
    <t>cam un sfert</t>
  </si>
  <si>
    <t>mai putin de un sfert / niciunul</t>
  </si>
  <si>
    <t>E10B</t>
  </si>
  <si>
    <t>...prietenii, vecinii, cunoscutii dvs.</t>
  </si>
  <si>
    <t>E10C</t>
  </si>
  <si>
    <t>...locuitorii din localitatea dvs.</t>
  </si>
  <si>
    <t>T6A</t>
  </si>
  <si>
    <t>. In general, credeti ca felul in care merg lucrurile in Romania depinde de rezultatul Alegerilor preziden?iale ? Folositi aceasta scala pentru a indica raspunsul - 0 inseamna ca nu depinde deloc de rezultatul alegerilor, iar 10 ca depinde foarte mult.</t>
  </si>
  <si>
    <t>T6B</t>
  </si>
  <si>
    <t>In general, credeti ca nivelul dvs. de trai depinde de rezultatul Alegerilor preziden?iale ? Folositi aceasta scala pentru a indica raspunsul - 0 inseamna ca nu depinde deloc de rezultatul alegerilor, iar 10 ca depinde foarte mult.</t>
  </si>
  <si>
    <t>T9A</t>
  </si>
  <si>
    <t>Pe o scala de la 0 la 10, unde 0 inseamna DELOC iar 10 IN FOARTE MARE MASURA, in ce masura credeti ca ... Politicienii din Romania sunt preocupati mai mult sa se lupte intre ei decat sa urmareasca interesul comun</t>
  </si>
  <si>
    <t>T9B</t>
  </si>
  <si>
    <t>Majoritatea politicienilor din Romania sunt la fel, astfel incat nu conteaza prea mult care dintre ei se afla la putere.</t>
  </si>
  <si>
    <t>T9D</t>
  </si>
  <si>
    <t>Politicienii tin cont de ceea ce gandesc oamenii ca mine.</t>
  </si>
  <si>
    <t>T9F</t>
  </si>
  <si>
    <t>Conteaza care politician castiga alegerile pentru cum merg lucrurile in tara.</t>
  </si>
  <si>
    <t>T9G</t>
  </si>
  <si>
    <t>Politicienii sunt interesati doar de voturile oamenilor, nu si de parerile lor.</t>
  </si>
  <si>
    <t>C32A</t>
  </si>
  <si>
    <t>In timpul campaniilor electorale candidatii si partidele politice ofera oamenilor diferite cadouri pentru a se face mai cunoscuti. Dumneavoastra sau cineva din gospodaria dumneavoastra ati primit in campania electorala pentru Alegerile Prezidentiale sau in</t>
  </si>
  <si>
    <t>Da, in campania pt Alegerile Prezidentiale</t>
  </si>
  <si>
    <t>Da, in campaniile din 2008 sau PE 2009</t>
  </si>
  <si>
    <t>Da, in ambele</t>
  </si>
  <si>
    <t>C32B</t>
  </si>
  <si>
    <t>produse alimentare si bauturi</t>
  </si>
  <si>
    <t>C32C</t>
  </si>
  <si>
    <t>unelte si obiecte de uz casnic (vesela, galeti, maturi etc.)</t>
  </si>
  <si>
    <t>C32D</t>
  </si>
  <si>
    <t>obiecte mai valoroase (telefoane mobile, electrocasnice etc.)</t>
  </si>
  <si>
    <t>C32E</t>
  </si>
  <si>
    <t>sume de bani</t>
  </si>
  <si>
    <t>L8_w3</t>
  </si>
  <si>
    <t>Dupa parerea dvs., la turul 2 al alegerilor prezidentiale, din 6 decembrie 2009, au existat fraude electorale sau nu?</t>
  </si>
  <si>
    <t>L8DA_w3</t>
  </si>
  <si>
    <t>In ce masura credeti ca fraudele au influentat rezultatul final?</t>
  </si>
  <si>
    <t>XX</t>
  </si>
  <si>
    <t>Ati votat la Alegerile pentru Parlamentul European din iunie 2009?</t>
  </si>
  <si>
    <t>QQ1A_W3</t>
  </si>
  <si>
    <t>QQ1B_W3</t>
  </si>
  <si>
    <t>QQ1C_W3</t>
  </si>
  <si>
    <t>QQ1D_W3</t>
  </si>
  <si>
    <t>QQ1G_W3</t>
  </si>
  <si>
    <t>QQ1H_W3</t>
  </si>
  <si>
    <t>Primaria localitatii in care locuiti (Bucuresti: Primaria Capitalei)</t>
  </si>
  <si>
    <t>QQ1I_W3</t>
  </si>
  <si>
    <t>I4A</t>
  </si>
  <si>
    <t>Cat de bine credeti ca ar fi pentru Romania … Sa aiba un conducator puternic, care nu isi bate capul cu parlamentul si cu alegerile</t>
  </si>
  <si>
    <t>Foarte bine</t>
  </si>
  <si>
    <t>Bine</t>
  </si>
  <si>
    <t>Prost</t>
  </si>
  <si>
    <t>Foarte prost</t>
  </si>
  <si>
    <t>I4B</t>
  </si>
  <si>
    <t>Sa aiba un guvern de specialisti care conduc tara dupa cum cred ei ca este mai bine pentru tara</t>
  </si>
  <si>
    <t>I4C</t>
  </si>
  <si>
    <t>Sa aiba un sistem politic democratic</t>
  </si>
  <si>
    <t>ASI01</t>
  </si>
  <si>
    <t>Sunteti membru al vreuneia dintre urmatoarele asociatii / organizatii? Servicii sociale pentru batrani, handicapati sau saraci</t>
  </si>
  <si>
    <t>MENTIONEAZA</t>
  </si>
  <si>
    <t>NU MENTIONEAZA</t>
  </si>
  <si>
    <t>ASI02</t>
  </si>
  <si>
    <t>Organizatii religioase sau bisericesti</t>
  </si>
  <si>
    <t>ASI03</t>
  </si>
  <si>
    <t>Educatie, arta, muzica sau activitati culturale</t>
  </si>
  <si>
    <t>ASI04</t>
  </si>
  <si>
    <t>Grupuri sau partide politice</t>
  </si>
  <si>
    <t>ASI05</t>
  </si>
  <si>
    <t>Actiuni ale comunitatii privind: saracia, somajul, locuirea, inegalitatea etnica</t>
  </si>
  <si>
    <t>ASI06</t>
  </si>
  <si>
    <t>Dezvoltarea lumii a treia sau drepturile omului</t>
  </si>
  <si>
    <t>ASI07</t>
  </si>
  <si>
    <t>Mediul inconjurator, ecologie, drepturile animalelor</t>
  </si>
  <si>
    <t>ASI08</t>
  </si>
  <si>
    <t>Cercetasi, echipe de ghizi, cluburi de tineri, etc</t>
  </si>
  <si>
    <t>ASI09</t>
  </si>
  <si>
    <t>Sport sau recreere</t>
  </si>
  <si>
    <t>ASI10</t>
  </si>
  <si>
    <t>Asociatii ale femeilor</t>
  </si>
  <si>
    <t>ASI11</t>
  </si>
  <si>
    <t>Miscari pacifiste</t>
  </si>
  <si>
    <t>ASI12</t>
  </si>
  <si>
    <t>Organizatii voluntare care se ocupa de sanatate</t>
  </si>
  <si>
    <t>ASI13</t>
  </si>
  <si>
    <t>Alte grupuri</t>
  </si>
  <si>
    <t>D59I1</t>
  </si>
  <si>
    <t>In prezent, dvs. sau altcineva din familia dvs. este membru al unui / unei ...? sindicat</t>
  </si>
  <si>
    <t>Respondentul</t>
  </si>
  <si>
    <t>Altcineva din familie</t>
  </si>
  <si>
    <t>Respondentul si altcineva</t>
  </si>
  <si>
    <t>Nimeni</t>
  </si>
  <si>
    <t>D59I2</t>
  </si>
  <si>
    <t>asociatii a oamenilor de afaceri / patronat</t>
  </si>
  <si>
    <t>D59I3</t>
  </si>
  <si>
    <t>asociatii agricole</t>
  </si>
  <si>
    <t>D59I4</t>
  </si>
  <si>
    <t>asociatii profesionale</t>
  </si>
  <si>
    <t>CS1</t>
  </si>
  <si>
    <t>In general vorbind, ati spune ca se poate avea incredere in cei mai multi dintre oameni sau e mai bine sa fii atent in relatiile cu oamenii? Va rugam sa indicati raspunsul dand note de la 1 la 10, unde 1 inseamna ca „E mai bine sa fii atent in relatiile cu</t>
  </si>
  <si>
    <t>E mai bine sa fii atent in relatiile cu oamenii</t>
  </si>
  <si>
    <t>Se poate avea incredere in cei mai multi dintre oameni</t>
  </si>
  <si>
    <t>SS1A</t>
  </si>
  <si>
    <t>Pe o scala de la 0 la 10, in care 0 inseamna ”deloc de acord” si 10 inseamna ”total de acord”, in ce masura sunteti de acord cu fiecare din urmatoarele afirmatii? Ar trebui sa permitem oamenilor de rase sau etnii diferite sa vina sa locuiasca in Romania sa</t>
  </si>
  <si>
    <t>Deloc de acord</t>
  </si>
  <si>
    <t>SS1B</t>
  </si>
  <si>
    <t>Statul ar trebui sa redistribuie venituri de la cei care o duc mai bine catre cei care o duc mai prost.</t>
  </si>
  <si>
    <t>SS1C</t>
  </si>
  <si>
    <t>Romania ar trebui sa ofere ajutoare umanitare altor tari in caz de catastrofe naturale sau epidemii</t>
  </si>
  <si>
    <t>SS1D</t>
  </si>
  <si>
    <t>Romania ar trebui sa ajute tarile sarace sa se dezvolte</t>
  </si>
  <si>
    <t>SS2A</t>
  </si>
  <si>
    <t>In ce masura semanati cu o persoana pentru care este important...? sa-i ajute pe oamenii din jurul sau</t>
  </si>
  <si>
    <t>Putin</t>
  </si>
  <si>
    <t>Mult</t>
  </si>
  <si>
    <t>SS2B</t>
  </si>
  <si>
    <t>sa-i asculte pe oamenii care sunt diferiti de ea/el</t>
  </si>
  <si>
    <t>SS3A</t>
  </si>
  <si>
    <t>Pe o scala de la 0 la 10, unde 0 inseamna ”deloc” si 10 inseamna ”foarte mult”, cat de mult va preocupa conditiile de viata si bunastarea ...? familiei dvs.</t>
  </si>
  <si>
    <t>SS3B</t>
  </si>
  <si>
    <t>... vecinilor dvs.</t>
  </si>
  <si>
    <t>SS3C</t>
  </si>
  <si>
    <t>... oamenilor din localitatea dvs.</t>
  </si>
  <si>
    <t>SS3D</t>
  </si>
  <si>
    <t>... cetatenilor Romaniei</t>
  </si>
  <si>
    <t>SS3E</t>
  </si>
  <si>
    <t>... romilor</t>
  </si>
  <si>
    <t>SS3F</t>
  </si>
  <si>
    <t>... altor minoritati etnice</t>
  </si>
  <si>
    <t>SS3G</t>
  </si>
  <si>
    <t>... somerilor</t>
  </si>
  <si>
    <t>SS3H</t>
  </si>
  <si>
    <t>... pensionarilor</t>
  </si>
  <si>
    <t>SS3I</t>
  </si>
  <si>
    <t>... europenilor</t>
  </si>
  <si>
    <t>SS3J</t>
  </si>
  <si>
    <t>... oamenilor din intreaga lume</t>
  </si>
  <si>
    <t>SS2A1</t>
  </si>
  <si>
    <t>In opinia dvs. ar trebui sa aiba drept de vot ...? persoanele care nu stiu sa scrie si sa citeasca</t>
  </si>
  <si>
    <t>DA</t>
  </si>
  <si>
    <t>SS2B1</t>
  </si>
  <si>
    <t xml:space="preserve"> ... tinerii intre 16 si 18 ani</t>
  </si>
  <si>
    <t>SS2C</t>
  </si>
  <si>
    <t>... persoanele condamnate penal</t>
  </si>
  <si>
    <t>SS2D</t>
  </si>
  <si>
    <t>... romii / tiganii</t>
  </si>
  <si>
    <t>SS2E</t>
  </si>
  <si>
    <t>... alte minoritati etnice</t>
  </si>
  <si>
    <t>SS2F</t>
  </si>
  <si>
    <t>... persoanele care au obtinut recent cetatenia romana</t>
  </si>
  <si>
    <t>SS2G</t>
  </si>
  <si>
    <t>... homosexualii</t>
  </si>
  <si>
    <t>SS2H</t>
  </si>
  <si>
    <t>... martorii lui Yehova</t>
  </si>
  <si>
    <t>SS2I</t>
  </si>
  <si>
    <t>... romanii cu domiciliul in strainatate</t>
  </si>
  <si>
    <t>SS2J</t>
  </si>
  <si>
    <t>... persoanele care nu platesc taxe</t>
  </si>
  <si>
    <t>IDA</t>
  </si>
  <si>
    <t>Dumneavoastra va simtiti in primul rand...?</t>
  </si>
  <si>
    <t>locuitor al localitatii dvs.</t>
  </si>
  <si>
    <t>locuitor al regiunii (Ardeal, Moldova, etc.)</t>
  </si>
  <si>
    <t>roman</t>
  </si>
  <si>
    <t>european</t>
  </si>
  <si>
    <t>locuitor al lumii</t>
  </si>
  <si>
    <t>IDB</t>
  </si>
  <si>
    <t>Dar in al doilea rand?</t>
  </si>
  <si>
    <t>GEN_W3</t>
  </si>
  <si>
    <t>AN_W3</t>
  </si>
  <si>
    <t>In ce an v-ati nascut?</t>
  </si>
  <si>
    <t>NS/NR</t>
  </si>
  <si>
    <t>EDUC1</t>
  </si>
  <si>
    <t>Care este cel mai inalt nivel de educatie atins de dvs.?</t>
  </si>
  <si>
    <t>scoala de maistri</t>
  </si>
  <si>
    <t>EDUC2</t>
  </si>
  <si>
    <t>Care este cel mai inalt nivel de educatie atins de partenerul/partenera dvs.?</t>
  </si>
  <si>
    <t>STAT1</t>
  </si>
  <si>
    <t>In prezent sunteti …?</t>
  </si>
  <si>
    <t>angajat cu norma intreaga (30 ore pe sapt. sau mai mult)</t>
  </si>
  <si>
    <t>angajat cu norma partiala (15-30 de ore / sapt.)</t>
  </si>
  <si>
    <t>angajat cu norma partiala (sub 15 ore / sapt.)</t>
  </si>
  <si>
    <t>elev / student la zi</t>
  </si>
  <si>
    <t>pensionar</t>
  </si>
  <si>
    <t>ajutati un alt membru al familiei</t>
  </si>
  <si>
    <t>intreprinzator pe cont propriu, inclusiv agricultor/fermier,</t>
  </si>
  <si>
    <t>liber profesionist (doctor, avocat, notar)</t>
  </si>
  <si>
    <t>sunteti casnica sau lucrati tot timpul in gospodarie, aveti</t>
  </si>
  <si>
    <t>in incapacitate de munca / handicap permanent</t>
  </si>
  <si>
    <t>STAT2</t>
  </si>
  <si>
    <t>Dar partenerul(a) dvs.?</t>
  </si>
  <si>
    <t>STAT3</t>
  </si>
  <si>
    <t>Alt statut</t>
  </si>
  <si>
    <t>OCUP1</t>
  </si>
  <si>
    <t>nu are partener(a)</t>
  </si>
  <si>
    <t>OCUP2</t>
  </si>
  <si>
    <t>Partenerul / partenera ce ocupatie are / a avut?</t>
  </si>
  <si>
    <t>MU1</t>
  </si>
  <si>
    <t>Cum se numeste / s-a numit munca (func?ia,pozi?ia) pe care o desfasurati (la principalul loc de munca)?</t>
  </si>
  <si>
    <t>MU2</t>
  </si>
  <si>
    <t>Dar munca partenerei / partenerului dvs.?</t>
  </si>
  <si>
    <t>AC1</t>
  </si>
  <si>
    <t>Ce fel de activitate desfasurati la acest / acel loc de munca in cea mai mare parte a timpului?</t>
  </si>
  <si>
    <t>AC2</t>
  </si>
  <si>
    <t>Dar partenera / partenerul dvs.?</t>
  </si>
  <si>
    <t>DO1</t>
  </si>
  <si>
    <t>In ce domeniu / sector este acest loc de munca?</t>
  </si>
  <si>
    <t>DO2</t>
  </si>
  <si>
    <t>In ce domeniu este locul de munca al partenerei(lui)?</t>
  </si>
  <si>
    <t>SECT1</t>
  </si>
  <si>
    <t>Acest loc de munca este / a fost in sectorul privat sau public („de stat”)?</t>
  </si>
  <si>
    <t>public</t>
  </si>
  <si>
    <t>privat</t>
  </si>
  <si>
    <t>mixt</t>
  </si>
  <si>
    <t>ONG/non-profit</t>
  </si>
  <si>
    <t>SECT2</t>
  </si>
  <si>
    <t>Locul de munca al partenerului / partenera, este / a fost in sectorul privat sau public („de stat”)?</t>
  </si>
  <si>
    <t>SU1</t>
  </si>
  <si>
    <t>La acest loc de munca aveti / ati avut pe cineva in subordine?</t>
  </si>
  <si>
    <t>NC (copii, elevi / studenti, casnice)</t>
  </si>
  <si>
    <t>SU2</t>
  </si>
  <si>
    <t>La acest loc de munca partenera(l) are / a avut pe cineva in subordine?</t>
  </si>
  <si>
    <t>D23</t>
  </si>
  <si>
    <t>Cat de des mergeti la biserica?</t>
  </si>
  <si>
    <t>2 - 11 ori pe an</t>
  </si>
  <si>
    <t>De doua sau mai multe ori pe luna</t>
  </si>
  <si>
    <t>Saptamanal sau mai des</t>
  </si>
  <si>
    <t>D24</t>
  </si>
  <si>
    <t>Ati spune despre dvs. ca ...?</t>
  </si>
  <si>
    <t>nu sunteti religios</t>
  </si>
  <si>
    <t>nu sunteti prea religios</t>
  </si>
  <si>
    <t>sunteti oarecum religios</t>
  </si>
  <si>
    <t>sunteti foarte religios</t>
  </si>
  <si>
    <t>D26I1</t>
  </si>
  <si>
    <t>In ce limbi vorbiti in familie, cu ceilalti membri ai familiei? romana</t>
  </si>
  <si>
    <t>mentionat</t>
  </si>
  <si>
    <t>nementionat</t>
  </si>
  <si>
    <t>D26I2</t>
  </si>
  <si>
    <t>D26I3</t>
  </si>
  <si>
    <t>romani/romanes</t>
  </si>
  <si>
    <t>D26I4</t>
  </si>
  <si>
    <t>NRMEM_w3</t>
  </si>
  <si>
    <t>NRMEM18</t>
  </si>
  <si>
    <t>Dintre acestia, cati au cel mult 18 ani?</t>
  </si>
  <si>
    <t>RM2_W3</t>
  </si>
  <si>
    <t>In luna trecuta (noiembrie), suma totala de bani obtinuta de catre toti membrii gospodariei dvs. incluzand salarii, dividende, chirii, vanzari etc., a fost cam de …</t>
  </si>
  <si>
    <t>nici un venit</t>
  </si>
  <si>
    <t>RM3_W3</t>
  </si>
  <si>
    <t>Dar venitul dvs. personal in luna trecuta (noiembrie) a fost cam de ...?</t>
  </si>
  <si>
    <t>LOC1_w3</t>
  </si>
  <si>
    <t>LOC2_w3</t>
  </si>
  <si>
    <t>SECTVOT</t>
  </si>
  <si>
    <t>Numar sectie de vot</t>
  </si>
  <si>
    <t>TREI1_W3</t>
  </si>
  <si>
    <t>Pe durata aplicarii chestionarului (o parte a acestuia) a mai fost prezent(a)/a mai asistat ?i o alta persoana la interviu? sotia / sotul (sau similar)</t>
  </si>
  <si>
    <t>TREI2_W3</t>
  </si>
  <si>
    <t>TREI3_W3</t>
  </si>
  <si>
    <t>TREI4_W3</t>
  </si>
  <si>
    <t>TREI5_W3</t>
  </si>
  <si>
    <t>SUBI1_W3</t>
  </si>
  <si>
    <t>Pe o scala de la 0 (minim) la 10 (maxim), cum apreciati interesul respondentului pentru temele discutate?</t>
  </si>
  <si>
    <t>SUBI2_W3</t>
  </si>
  <si>
    <t>SUBI3_W3</t>
  </si>
  <si>
    <t>SUBI4_W3</t>
  </si>
  <si>
    <t>DD_W3</t>
  </si>
  <si>
    <t>MM_W3</t>
  </si>
  <si>
    <t>CODOP_w3</t>
  </si>
  <si>
    <t>Numele operatorului</t>
  </si>
  <si>
    <t>CODSUP_w3</t>
  </si>
  <si>
    <t>ssssssssss</t>
  </si>
  <si>
    <t>****************** recodificari ****************************************************</t>
  </si>
  <si>
    <t>C7I1</t>
  </si>
  <si>
    <t>Pe 22 noiembrie 2009 in Romania vor avea loc Alegeri Prezidentiale si Referendum. Daca 0 reprezinta o persoana care „FOARtE SIGUR NU VA VOtA” iar 10 o persoana care „FOARtE SIGUR VA VOtA” la ..., pe aceasta scala unde v-ati afla dvs.? alegerile preziden?i</t>
  </si>
  <si>
    <t>V1</t>
  </si>
  <si>
    <t>Autoevaluarea prezentei la vot in turul 1</t>
  </si>
  <si>
    <t>Q21X</t>
  </si>
  <si>
    <t>p_vot_t1_w1</t>
  </si>
  <si>
    <t>Estimeaza ca sigur merge la vot</t>
  </si>
  <si>
    <t>p_vot_t1_w2</t>
  </si>
  <si>
    <t>p_vot_t1_w3</t>
  </si>
  <si>
    <t>p_vot_t1</t>
  </si>
  <si>
    <t>vot_t1_w1</t>
  </si>
  <si>
    <t>Vot turul 1</t>
  </si>
  <si>
    <t>vot_t1_w2</t>
  </si>
  <si>
    <t>vot_t1_w3</t>
  </si>
  <si>
    <t>vot_t1</t>
  </si>
  <si>
    <t>C2IAn</t>
  </si>
  <si>
    <t>Presedintele României este ales pentru o perioada de 4 ani.</t>
  </si>
  <si>
    <t>C2IBn</t>
  </si>
  <si>
    <t>O persoan? poate fi pre?edinte al României doar dou? mandate.</t>
  </si>
  <si>
    <t>C2ICn</t>
  </si>
  <si>
    <t>Conform Constitu?iei, mini?trii dintr-un Guvern sunt ale?i de Pre?edinte.</t>
  </si>
  <si>
    <t>C2IDn</t>
  </si>
  <si>
    <t>Unul dintre rolurile Pre?edintelui este de a reprezenta România în rela?iile externe.</t>
  </si>
  <si>
    <t>C2IEn</t>
  </si>
  <si>
    <t>În anumite condi?ii, Pre?edintele are dreptul s? dizolve Parlamentul.</t>
  </si>
  <si>
    <t>Q27An</t>
  </si>
  <si>
    <t>În România, sec?iile de votare se închid la ora nou? seara.</t>
  </si>
  <si>
    <t>Q27Bn</t>
  </si>
  <si>
    <t>Conform legii, campaniile electorale din România încep cu 30 de zile înainte de alegeri.</t>
  </si>
  <si>
    <t>Q27Cn</t>
  </si>
  <si>
    <t>Statele Uniunii Europene au acela?i num?r de parlamentari în Parlamentul European.</t>
  </si>
  <si>
    <t>cun_pol</t>
  </si>
  <si>
    <t>cunostinte politice (compute)</t>
  </si>
  <si>
    <t>cun_pol1</t>
  </si>
  <si>
    <t>cunostinte politice (count true answ)</t>
  </si>
  <si>
    <t>int_pol1</t>
  </si>
  <si>
    <t>interes pt politica (count interes destul de +)</t>
  </si>
  <si>
    <t>int_pol1c</t>
  </si>
  <si>
    <t>scazut</t>
  </si>
  <si>
    <t>mediu</t>
  </si>
  <si>
    <t>ridicat</t>
  </si>
  <si>
    <t>inf_aleg1</t>
  </si>
  <si>
    <t>informare despre alegeri (count e2)</t>
  </si>
  <si>
    <t>inf_aleg1c</t>
  </si>
  <si>
    <t>scazuta</t>
  </si>
  <si>
    <t>ridicata</t>
  </si>
  <si>
    <t>sust_grat</t>
  </si>
  <si>
    <t>sustinere gratuita a candidatului preferat</t>
  </si>
  <si>
    <t>cont_e3</t>
  </si>
  <si>
    <t>contactat in campanie - canale</t>
  </si>
  <si>
    <t>cont_e7</t>
  </si>
  <si>
    <t>contactat in campanie - partid/cand/orgpol</t>
  </si>
  <si>
    <t>cont_e8</t>
  </si>
  <si>
    <t>contactat in campanie - familie / prieteni</t>
  </si>
  <si>
    <t>cont_e9</t>
  </si>
  <si>
    <t>contactat in campanie - lideri locali</t>
  </si>
  <si>
    <t>cont_turn</t>
  </si>
  <si>
    <t>contactat in campanie - participare vot</t>
  </si>
  <si>
    <t>cont_miti</t>
  </si>
  <si>
    <t>contactat in campanie - part miting</t>
  </si>
  <si>
    <t>cont_vol</t>
  </si>
  <si>
    <t>contactat in campanie - voluntariat</t>
  </si>
  <si>
    <t>cont_bani</t>
  </si>
  <si>
    <t>contactat in campanie - donatii</t>
  </si>
  <si>
    <t>cont_vot</t>
  </si>
  <si>
    <t>contactat in campanie - acordare vot</t>
  </si>
  <si>
    <t>contactat</t>
  </si>
  <si>
    <t>contactat in campanie</t>
  </si>
  <si>
    <t>cont_turn1</t>
  </si>
  <si>
    <t>cont_miti1</t>
  </si>
  <si>
    <t>cont_vol1</t>
  </si>
  <si>
    <t>cont_bani1</t>
  </si>
  <si>
    <t>cont_vot1</t>
  </si>
  <si>
    <t>change_vot</t>
  </si>
  <si>
    <t>si-a modificat votul in campanie</t>
  </si>
  <si>
    <t>change_votx</t>
  </si>
  <si>
    <t>si-a modificat votul in campanie (include indecisii)</t>
  </si>
  <si>
    <t>change_vot1</t>
  </si>
  <si>
    <t>si-a modificat votul in campanie - vroia sa voteze dar nu a mai votat</t>
  </si>
  <si>
    <t>change_vot1x</t>
  </si>
  <si>
    <t>si-a modificat votul in campanie - vroia sa voteze dar nu a mai votat (include indecisii)</t>
  </si>
  <si>
    <t>change_vot2</t>
  </si>
  <si>
    <t>si-a modificat votul in campanie - nu vroia sa voteze dar a votat</t>
  </si>
  <si>
    <t>change_vot3</t>
  </si>
  <si>
    <t>si-a modificat votul in campanie - a schimbat candidatul</t>
  </si>
  <si>
    <t>change_vot3x</t>
  </si>
  <si>
    <t>si-a modificat votul in campanie - a schimbat candidatul (include indecisii)</t>
  </si>
  <si>
    <t>indecis_w1</t>
  </si>
  <si>
    <t>indecis inainte de turul 1 - cu cine sa voteze (v2)</t>
  </si>
  <si>
    <t>st1_w1</t>
  </si>
  <si>
    <t>statement 1 - w1 - mers in strainatate dupa 1989</t>
  </si>
  <si>
    <t>st2_w1</t>
  </si>
  <si>
    <t>statement 2 - w1 - cel putin o data pe luna la Biserica</t>
  </si>
  <si>
    <t>st3_w1</t>
  </si>
  <si>
    <t>statement 3 - w1 - utilizator PC</t>
  </si>
  <si>
    <t>st123_w1</t>
  </si>
  <si>
    <t>statements 123 - w1 - no of yes</t>
  </si>
  <si>
    <t>st4</t>
  </si>
  <si>
    <t>statement 4 - a votat la PE 2009</t>
  </si>
  <si>
    <t>gr_type</t>
  </si>
  <si>
    <t>group type</t>
  </si>
  <si>
    <t>control</t>
  </si>
  <si>
    <t>treatment</t>
  </si>
  <si>
    <t>gr_control</t>
  </si>
  <si>
    <t>control group - no of yes</t>
  </si>
  <si>
    <t>gr_treat</t>
  </si>
  <si>
    <t>treatement group - no of yes</t>
  </si>
  <si>
    <t>filter_$</t>
  </si>
  <si>
    <t>PW3 = 1 (FILTER)</t>
  </si>
  <si>
    <t>Not Selected</t>
  </si>
  <si>
    <t>Selected</t>
  </si>
  <si>
    <t>dif_3ite</t>
  </si>
  <si>
    <t>varsta.cses</t>
  </si>
  <si>
    <t>18-25</t>
  </si>
  <si>
    <t>26-40</t>
  </si>
  <si>
    <t>41-64</t>
  </si>
  <si>
    <t>65+</t>
  </si>
  <si>
    <t>xgen</t>
  </si>
  <si>
    <t>xvarsta</t>
  </si>
  <si>
    <t>sex</t>
  </si>
  <si>
    <t>Gen</t>
  </si>
  <si>
    <t>masculin</t>
  </si>
  <si>
    <t>feminin</t>
  </si>
  <si>
    <t>varstax</t>
  </si>
  <si>
    <t>Grupe de varsta</t>
  </si>
  <si>
    <t>18-34</t>
  </si>
  <si>
    <t>35-49</t>
  </si>
  <si>
    <t>50-64</t>
  </si>
  <si>
    <t>varcat</t>
  </si>
  <si>
    <t>18-24</t>
  </si>
  <si>
    <t>25-34</t>
  </si>
  <si>
    <t>35-44</t>
  </si>
  <si>
    <t>45-54</t>
  </si>
  <si>
    <t>55-64</t>
  </si>
  <si>
    <t>studii</t>
  </si>
  <si>
    <t>Studii</t>
  </si>
  <si>
    <t>cel mult 10 clase / scoala profesionala</t>
  </si>
  <si>
    <t>liceu / scoala post-liceala</t>
  </si>
  <si>
    <t>invatamant superior</t>
  </si>
  <si>
    <t>Mediu</t>
  </si>
  <si>
    <t>urban</t>
  </si>
  <si>
    <t>rural</t>
  </si>
  <si>
    <t>sexmediu</t>
  </si>
  <si>
    <t>Sex * mediu</t>
  </si>
  <si>
    <t>femeie rural</t>
  </si>
  <si>
    <t>barbat rural</t>
  </si>
  <si>
    <t>femeie urban</t>
  </si>
  <si>
    <t>barbat urban</t>
  </si>
  <si>
    <t>wwwwwww</t>
  </si>
  <si>
    <t>************** weight ***********************************************</t>
  </si>
  <si>
    <t>w1</t>
  </si>
  <si>
    <t>ponderare - structura pop INSSE - sex*mediu*varcat</t>
  </si>
  <si>
    <t>w1e</t>
  </si>
  <si>
    <t>ponderare - structura pop INSSE - sex*mediu*varcat*etnie</t>
  </si>
  <si>
    <t>w2</t>
  </si>
  <si>
    <t>ponderare - structura votantilor - sex*mediu*varstax*studii</t>
  </si>
  <si>
    <t>w2to1</t>
  </si>
  <si>
    <t>ponderare - valul 2 to valul 1 - sex*mediu*varstax*studii</t>
  </si>
  <si>
    <t>w3to1</t>
  </si>
  <si>
    <t>ponderare - valul 3 to valul 1 - sex*mediu*varstax*studii</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</si>
</sst>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2" fontId="1" numFmtId="0" xfId="0" applyAlignment="1" applyFill="1" applyFont="1">
      <alignment horizontal="center" readingOrder="0"/>
    </xf>
    <xf borderId="0" fillId="0" fontId="2" numFmtId="0" xfId="0" applyFont="1"/>
    <xf borderId="0" fillId="2" fontId="2" numFmtId="0" xfId="0" applyFont="1"/>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94.29"/>
    <col customWidth="1" min="4" max="4" width="27.29"/>
    <col customWidth="1" min="5" max="5" width="30.71"/>
    <col customWidth="1" min="6" max="6" width="30.0"/>
    <col customWidth="1" min="7" max="68" width="8.71"/>
  </cols>
  <sheetData>
    <row r="1">
      <c r="A1" s="1" t="s">
        <v>0</v>
      </c>
      <c r="B1" s="1" t="s">
        <v>1</v>
      </c>
      <c r="C1" s="2" t="s">
        <v>2</v>
      </c>
      <c r="D1" s="3" t="s">
        <v>3</v>
      </c>
      <c r="E1" s="3" t="s">
        <v>4</v>
      </c>
      <c r="F1" s="3" t="s">
        <v>5</v>
      </c>
      <c r="G1" s="3" t="s">
        <v>6</v>
      </c>
      <c r="H1" s="3" t="s">
        <v>7</v>
      </c>
      <c r="I1" s="3" t="s">
        <v>8</v>
      </c>
      <c r="J1" s="3" t="s">
        <v>9</v>
      </c>
      <c r="K1" s="3" t="s">
        <v>10</v>
      </c>
      <c r="L1" s="3" t="s">
        <v>11</v>
      </c>
      <c r="M1" s="3"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row>
    <row r="2">
      <c r="A2" s="4" t="s">
        <v>68</v>
      </c>
      <c r="B2" s="4" t="s">
        <v>69</v>
      </c>
      <c r="C2" s="4" t="str">
        <f>IFERROR(__xludf.DUMMYFUNCTION("GOOGLETRANSLATE(B2, ""RO"", ""EN"")"),"Bar code (unique ID)")</f>
        <v>Bar code (unique ID)</v>
      </c>
      <c r="D2" s="5" t="str">
        <f>IFERROR(__xludf.DUMMYFUNCTION("IF(O2&lt;&gt;"""", GOOGLETRANSLATE(O2, ""RO"", ""EN""), """")"),"")</f>
        <v/>
      </c>
      <c r="E2" s="6" t="str">
        <f>IFERROR(__xludf.DUMMYFUNCTION("IF(P2&lt;&gt;"""", GOOGLETRANSLATE(P2, ""RO"", ""EN""), """")"),"")</f>
        <v/>
      </c>
      <c r="F2" s="5" t="str">
        <f>IFERROR(__xludf.DUMMYFUNCTION("IF(Q2&lt;&gt;"""", GOOGLETRANSLATE(Q2, ""RO"", ""EN""), """")"),"")</f>
        <v/>
      </c>
      <c r="G2" s="5" t="str">
        <f>IFERROR(__xludf.DUMMYFUNCTION("IF(R2&lt;&gt;"""", GOOGLETRANSLATE(R2, ""RO"", ""EN""), """")"),"")</f>
        <v/>
      </c>
      <c r="H2" s="5" t="str">
        <f>IFERROR(__xludf.DUMMYFUNCTION("IF(U2&lt;&gt;"""", GOOGLETRANSLATE(U2, ""RO"", ""EN""), """")"),"")</f>
        <v/>
      </c>
      <c r="I2" s="5" t="str">
        <f>IFERROR(__xludf.DUMMYFUNCTION("IF(V2&lt;&gt;"""", GOOGLETRANSLATE(V2, ""RO"", ""EN""), """")"),"")</f>
        <v/>
      </c>
      <c r="J2" s="5" t="str">
        <f>IFERROR(__xludf.DUMMYFUNCTION("IF(W2&lt;&gt;"""", GOOGLETRANSLATE(W2, ""RO"", ""EN""), """")"),"")</f>
        <v/>
      </c>
      <c r="K2" s="5" t="str">
        <f>IFERROR(__xludf.DUMMYFUNCTION("IF(X2&lt;&gt;"""", GOOGLETRANSLATE(X2, ""RO"", ""EN""), """")"),"")</f>
        <v/>
      </c>
      <c r="L2" s="5" t="str">
        <f>IFERROR(__xludf.DUMMYFUNCTION("IF(S2&lt;&gt;"""", GOOGLETRANSLATE(S2, ""RO"", ""EN""), """")"),"")</f>
        <v/>
      </c>
      <c r="M2" s="5" t="str">
        <f>IFERROR(__xludf.DUMMYFUNCTION("IF(T2&lt;&gt;"""", GOOGLETRANSLATE(T2, ""RO"", ""EN""), """")"),"")</f>
        <v/>
      </c>
      <c r="N2" s="5" t="str">
        <f>IFERROR(__xludf.DUMMYFUNCTION("IF(Y2&lt;&gt;"""", GOOGLETRANSLATE(Y2, ""RO"", ""EN""), """")"),"")</f>
        <v/>
      </c>
    </row>
    <row r="3">
      <c r="A3" s="4" t="s">
        <v>70</v>
      </c>
      <c r="B3" s="4" t="s">
        <v>71</v>
      </c>
      <c r="C3" s="4" t="str">
        <f>IFERROR(__xludf.DUMMYFUNCTION("GOOGLETRANSLATE(B3, ""RO"", ""EN"")"),"The file code")</f>
        <v>The file code</v>
      </c>
      <c r="D3" s="5" t="str">
        <f>IFERROR(__xludf.DUMMYFUNCTION("IF(O3&lt;&gt;"""", GOOGLETRANSLATE(O3, ""RO"", ""EN""), """")"),"")</f>
        <v/>
      </c>
      <c r="E3" s="6" t="str">
        <f>IFERROR(__xludf.DUMMYFUNCTION("IF(P3&lt;&gt;"""", GOOGLETRANSLATE(P3, ""RO"", ""EN""), """")"),"")</f>
        <v/>
      </c>
      <c r="F3" s="5" t="str">
        <f>IFERROR(__xludf.DUMMYFUNCTION("IF(Q3&lt;&gt;"""", GOOGLETRANSLATE(Q3, ""RO"", ""EN""), """")"),"")</f>
        <v/>
      </c>
      <c r="G3" s="5" t="str">
        <f>IFERROR(__xludf.DUMMYFUNCTION("IF(R3&lt;&gt;"""", GOOGLETRANSLATE(R3, ""RO"", ""EN""), """")"),"")</f>
        <v/>
      </c>
      <c r="H3" s="5" t="str">
        <f>IFERROR(__xludf.DUMMYFUNCTION("IF(U3&lt;&gt;"""", GOOGLETRANSLATE(U3, ""RO"", ""EN""), """")"),"")</f>
        <v/>
      </c>
      <c r="I3" s="5" t="str">
        <f>IFERROR(__xludf.DUMMYFUNCTION("IF(V3&lt;&gt;"""", GOOGLETRANSLATE(V3, ""RO"", ""EN""), """")"),"")</f>
        <v/>
      </c>
      <c r="J3" s="5" t="str">
        <f>IFERROR(__xludf.DUMMYFUNCTION("IF(W3&lt;&gt;"""", GOOGLETRANSLATE(W3, ""RO"", ""EN""), """")"),"")</f>
        <v/>
      </c>
      <c r="K3" s="5" t="str">
        <f>IFERROR(__xludf.DUMMYFUNCTION("IF(X3&lt;&gt;"""", GOOGLETRANSLATE(X3, ""RO"", ""EN""), """")"),"")</f>
        <v/>
      </c>
      <c r="L3" s="5" t="str">
        <f>IFERROR(__xludf.DUMMYFUNCTION("IF(S3&lt;&gt;"""", GOOGLETRANSLATE(S3, ""RO"", ""EN""), """")"),"")</f>
        <v/>
      </c>
      <c r="M3" s="5" t="str">
        <f>IFERROR(__xludf.DUMMYFUNCTION("IF(T3&lt;&gt;"""", GOOGLETRANSLATE(T3, ""RO"", ""EN""), """")"),"")</f>
        <v/>
      </c>
      <c r="N3" s="5" t="str">
        <f>IFERROR(__xludf.DUMMYFUNCTION("IF(Y3&lt;&gt;"""", GOOGLETRANSLATE(Y3, ""RO"", ""EN""), """")"),"")</f>
        <v/>
      </c>
    </row>
    <row r="4">
      <c r="A4" s="4" t="s">
        <v>72</v>
      </c>
      <c r="B4" s="4" t="s">
        <v>73</v>
      </c>
      <c r="C4" s="4" t="str">
        <f>IFERROR(__xludf.DUMMYFUNCTION("GOOGLETRANSLATE(B4, ""RO"", ""EN"")"),"Questionnaire number inside the file")</f>
        <v>Questionnaire number inside the file</v>
      </c>
      <c r="D4" s="5" t="str">
        <f>IFERROR(__xludf.DUMMYFUNCTION("IF(O4&lt;&gt;"""", GOOGLETRANSLATE(O4, ""RO"", ""EN""), """")"),"")</f>
        <v/>
      </c>
      <c r="E4" s="6" t="str">
        <f>IFERROR(__xludf.DUMMYFUNCTION("IF(P4&lt;&gt;"""", GOOGLETRANSLATE(P4, ""RO"", ""EN""), """")"),"")</f>
        <v/>
      </c>
      <c r="F4" s="5" t="str">
        <f>IFERROR(__xludf.DUMMYFUNCTION("IF(Q4&lt;&gt;"""", GOOGLETRANSLATE(Q4, ""RO"", ""EN""), """")"),"")</f>
        <v/>
      </c>
      <c r="G4" s="5" t="str">
        <f>IFERROR(__xludf.DUMMYFUNCTION("IF(R4&lt;&gt;"""", GOOGLETRANSLATE(R4, ""RO"", ""EN""), """")"),"")</f>
        <v/>
      </c>
      <c r="H4" s="5" t="str">
        <f>IFERROR(__xludf.DUMMYFUNCTION("IF(U4&lt;&gt;"""", GOOGLETRANSLATE(U4, ""RO"", ""EN""), """")"),"")</f>
        <v/>
      </c>
      <c r="I4" s="5" t="str">
        <f>IFERROR(__xludf.DUMMYFUNCTION("IF(V4&lt;&gt;"""", GOOGLETRANSLATE(V4, ""RO"", ""EN""), """")"),"")</f>
        <v/>
      </c>
      <c r="J4" s="5" t="str">
        <f>IFERROR(__xludf.DUMMYFUNCTION("IF(W4&lt;&gt;"""", GOOGLETRANSLATE(W4, ""RO"", ""EN""), """")"),"")</f>
        <v/>
      </c>
      <c r="K4" s="5" t="str">
        <f>IFERROR(__xludf.DUMMYFUNCTION("IF(X4&lt;&gt;"""", GOOGLETRANSLATE(X4, ""RO"", ""EN""), """")"),"")</f>
        <v/>
      </c>
      <c r="L4" s="5" t="str">
        <f>IFERROR(__xludf.DUMMYFUNCTION("IF(S4&lt;&gt;"""", GOOGLETRANSLATE(S4, ""RO"", ""EN""), """")"),"")</f>
        <v/>
      </c>
      <c r="M4" s="5" t="str">
        <f>IFERROR(__xludf.DUMMYFUNCTION("IF(T4&lt;&gt;"""", GOOGLETRANSLATE(T4, ""RO"", ""EN""), """")"),"")</f>
        <v/>
      </c>
      <c r="N4" s="5" t="str">
        <f>IFERROR(__xludf.DUMMYFUNCTION("IF(Y4&lt;&gt;"""", GOOGLETRANSLATE(Y4, ""RO"", ""EN""), """")"),"")</f>
        <v/>
      </c>
    </row>
    <row r="5">
      <c r="A5" s="4" t="s">
        <v>74</v>
      </c>
      <c r="B5" s="4" t="s">
        <v>75</v>
      </c>
      <c r="C5" s="4" t="str">
        <f>IFERROR(__xludf.DUMMYFUNCTION("GOOGLETRANSLATE(B5, ""RO"", ""EN"")"),"Participated in wave 2")</f>
        <v>Participated in wave 2</v>
      </c>
      <c r="D5" s="5" t="str">
        <f>IFERROR(__xludf.DUMMYFUNCTION("IF(O5&lt;&gt;"""", GOOGLETRANSLATE(O5, ""RO"", ""EN""), """")"),"not")</f>
        <v>not</v>
      </c>
      <c r="E5" s="6" t="str">
        <f>IFERROR(__xludf.DUMMYFUNCTION("IF(P5&lt;&gt;"""", GOOGLETRANSLATE(P5, ""RO"", ""EN""), """")"),"Yes")</f>
        <v>Yes</v>
      </c>
      <c r="F5" s="5" t="str">
        <f>IFERROR(__xludf.DUMMYFUNCTION("IF(Q5&lt;&gt;"""", GOOGLETRANSLATE(Q5, ""RO"", ""EN""), """")"),"")</f>
        <v/>
      </c>
      <c r="G5" s="5" t="str">
        <f>IFERROR(__xludf.DUMMYFUNCTION("IF(R5&lt;&gt;"""", GOOGLETRANSLATE(R5, ""RO"", ""EN""), """")"),"")</f>
        <v/>
      </c>
      <c r="H5" s="5" t="str">
        <f>IFERROR(__xludf.DUMMYFUNCTION("IF(U5&lt;&gt;"""", GOOGLETRANSLATE(U5, ""RO"", ""EN""), """")"),"")</f>
        <v/>
      </c>
      <c r="I5" s="5" t="str">
        <f>IFERROR(__xludf.DUMMYFUNCTION("IF(V5&lt;&gt;"""", GOOGLETRANSLATE(V5, ""RO"", ""EN""), """")"),"")</f>
        <v/>
      </c>
      <c r="J5" s="5" t="str">
        <f>IFERROR(__xludf.DUMMYFUNCTION("IF(W5&lt;&gt;"""", GOOGLETRANSLATE(W5, ""RO"", ""EN""), """")"),"")</f>
        <v/>
      </c>
      <c r="K5" s="5" t="str">
        <f>IFERROR(__xludf.DUMMYFUNCTION("IF(X5&lt;&gt;"""", GOOGLETRANSLATE(X5, ""RO"", ""EN""), """")"),"")</f>
        <v/>
      </c>
      <c r="L5" s="5" t="str">
        <f>IFERROR(__xludf.DUMMYFUNCTION("IF(S5&lt;&gt;"""", GOOGLETRANSLATE(S5, ""RO"", ""EN""), """")"),"")</f>
        <v/>
      </c>
      <c r="M5" s="5" t="str">
        <f>IFERROR(__xludf.DUMMYFUNCTION("IF(T5&lt;&gt;"""", GOOGLETRANSLATE(T5, ""RO"", ""EN""), """")"),"")</f>
        <v/>
      </c>
      <c r="N5" s="5" t="str">
        <f>IFERROR(__xludf.DUMMYFUNCTION("IF(Y5&lt;&gt;"""", GOOGLETRANSLATE(Y5, ""RO"", ""EN""), """")"),"")</f>
        <v/>
      </c>
      <c r="O5" s="4" t="s">
        <v>76</v>
      </c>
      <c r="P5" s="4" t="s">
        <v>77</v>
      </c>
    </row>
    <row r="6">
      <c r="A6" s="4" t="s">
        <v>78</v>
      </c>
      <c r="B6" s="4" t="s">
        <v>79</v>
      </c>
      <c r="C6" s="4" t="str">
        <f>IFERROR(__xludf.DUMMYFUNCTION("GOOGLETRANSLATE(B6, ""RO"", ""EN"")"),"Participated in wave 3")</f>
        <v>Participated in wave 3</v>
      </c>
      <c r="D6" s="5" t="str">
        <f>IFERROR(__xludf.DUMMYFUNCTION("IF(O6&lt;&gt;"""", GOOGLETRANSLATE(O6, ""RO"", ""EN""), """")"),"not")</f>
        <v>not</v>
      </c>
      <c r="E6" s="6" t="str">
        <f>IFERROR(__xludf.DUMMYFUNCTION("IF(P6&lt;&gt;"""", GOOGLETRANSLATE(P6, ""RO"", ""EN""), """")"),"Yes")</f>
        <v>Yes</v>
      </c>
      <c r="F6" s="5" t="str">
        <f>IFERROR(__xludf.DUMMYFUNCTION("IF(Q6&lt;&gt;"""", GOOGLETRANSLATE(Q6, ""RO"", ""EN""), """")"),"")</f>
        <v/>
      </c>
      <c r="G6" s="5" t="str">
        <f>IFERROR(__xludf.DUMMYFUNCTION("IF(R6&lt;&gt;"""", GOOGLETRANSLATE(R6, ""RO"", ""EN""), """")"),"")</f>
        <v/>
      </c>
      <c r="H6" s="5" t="str">
        <f>IFERROR(__xludf.DUMMYFUNCTION("IF(U6&lt;&gt;"""", GOOGLETRANSLATE(U6, ""RO"", ""EN""), """")"),"")</f>
        <v/>
      </c>
      <c r="I6" s="5" t="str">
        <f>IFERROR(__xludf.DUMMYFUNCTION("IF(V6&lt;&gt;"""", GOOGLETRANSLATE(V6, ""RO"", ""EN""), """")"),"")</f>
        <v/>
      </c>
      <c r="J6" s="5" t="str">
        <f>IFERROR(__xludf.DUMMYFUNCTION("IF(W6&lt;&gt;"""", GOOGLETRANSLATE(W6, ""RO"", ""EN""), """")"),"")</f>
        <v/>
      </c>
      <c r="K6" s="5" t="str">
        <f>IFERROR(__xludf.DUMMYFUNCTION("IF(X6&lt;&gt;"""", GOOGLETRANSLATE(X6, ""RO"", ""EN""), """")"),"")</f>
        <v/>
      </c>
      <c r="L6" s="5" t="str">
        <f>IFERROR(__xludf.DUMMYFUNCTION("IF(S6&lt;&gt;"""", GOOGLETRANSLATE(S6, ""RO"", ""EN""), """")"),"")</f>
        <v/>
      </c>
      <c r="M6" s="5" t="str">
        <f>IFERROR(__xludf.DUMMYFUNCTION("IF(T6&lt;&gt;"""", GOOGLETRANSLATE(T6, ""RO"", ""EN""), """")"),"")</f>
        <v/>
      </c>
      <c r="N6" s="5" t="str">
        <f>IFERROR(__xludf.DUMMYFUNCTION("IF(Y6&lt;&gt;"""", GOOGLETRANSLATE(Y6, ""RO"", ""EN""), """")"),"")</f>
        <v/>
      </c>
      <c r="O6" s="4" t="s">
        <v>76</v>
      </c>
      <c r="P6" s="4" t="s">
        <v>77</v>
      </c>
    </row>
    <row r="7">
      <c r="A7" s="4" t="s">
        <v>80</v>
      </c>
      <c r="B7" s="4" t="s">
        <v>81</v>
      </c>
      <c r="C7" s="4" t="str">
        <f>IFERROR(__xludf.DUMMYFUNCTION("GOOGLETRANSLATE(B7, ""RO"", ""EN"")"),"The status of the respondent in the panel")</f>
        <v>The status of the respondent in the panel</v>
      </c>
      <c r="D7" s="5" t="str">
        <f>IFERROR(__xludf.DUMMYFUNCTION("IF(O7&lt;&gt;"""", GOOGLETRANSLATE(O7, ""RO"", ""EN""), """")"),"only participated in wave 1")</f>
        <v>only participated in wave 1</v>
      </c>
      <c r="E7" s="6" t="str">
        <f>IFERROR(__xludf.DUMMYFUNCTION("IF(P7&lt;&gt;"""", GOOGLETRANSLATE(P7, ""RO"", ""EN""), """")"),"participated in all 3 waves")</f>
        <v>participated in all 3 waves</v>
      </c>
      <c r="F7" s="5" t="str">
        <f>IFERROR(__xludf.DUMMYFUNCTION("IF(Q7&lt;&gt;"""", GOOGLETRANSLATE(Q7, ""RO"", ""EN""), """")"),"only participated in wave 1 and 2")</f>
        <v>only participated in wave 1 and 2</v>
      </c>
      <c r="G7" s="5" t="str">
        <f>IFERROR(__xludf.DUMMYFUNCTION("IF(R7&lt;&gt;"""", GOOGLETRANSLATE(R7, ""RO"", ""EN""), """")"),"only participated in wave 1 and 3")</f>
        <v>only participated in wave 1 and 3</v>
      </c>
      <c r="H7" s="5" t="str">
        <f>IFERROR(__xludf.DUMMYFUNCTION("IF(U7&lt;&gt;"""", GOOGLETRANSLATE(U7, ""RO"", ""EN""), """")"),"")</f>
        <v/>
      </c>
      <c r="I7" s="5" t="str">
        <f>IFERROR(__xludf.DUMMYFUNCTION("IF(V7&lt;&gt;"""", GOOGLETRANSLATE(V7, ""RO"", ""EN""), """")"),"")</f>
        <v/>
      </c>
      <c r="J7" s="5" t="str">
        <f>IFERROR(__xludf.DUMMYFUNCTION("IF(W7&lt;&gt;"""", GOOGLETRANSLATE(W7, ""RO"", ""EN""), """")"),"")</f>
        <v/>
      </c>
      <c r="K7" s="5" t="str">
        <f>IFERROR(__xludf.DUMMYFUNCTION("IF(X7&lt;&gt;"""", GOOGLETRANSLATE(X7, ""RO"", ""EN""), """")"),"")</f>
        <v/>
      </c>
      <c r="L7" s="5" t="str">
        <f>IFERROR(__xludf.DUMMYFUNCTION("IF(S7&lt;&gt;"""", GOOGLETRANSLATE(S7, ""RO"", ""EN""), """")"),"")</f>
        <v/>
      </c>
      <c r="M7" s="5" t="str">
        <f>IFERROR(__xludf.DUMMYFUNCTION("IF(T7&lt;&gt;"""", GOOGLETRANSLATE(T7, ""RO"", ""EN""), """")"),"")</f>
        <v/>
      </c>
      <c r="N7" s="5" t="str">
        <f>IFERROR(__xludf.DUMMYFUNCTION("IF(Y7&lt;&gt;"""", GOOGLETRANSLATE(Y7, ""RO"", ""EN""), """")"),"")</f>
        <v/>
      </c>
      <c r="O7" s="4" t="s">
        <v>82</v>
      </c>
      <c r="P7" s="4" t="s">
        <v>83</v>
      </c>
      <c r="Q7" s="4" t="s">
        <v>84</v>
      </c>
      <c r="R7" s="4" t="s">
        <v>85</v>
      </c>
    </row>
    <row r="8">
      <c r="A8" s="4" t="s">
        <v>86</v>
      </c>
      <c r="B8" s="4" t="s">
        <v>87</v>
      </c>
      <c r="C8" s="4" t="str">
        <f>IFERROR(__xludf.DUMMYFUNCTION("GOOGLETRANSLATE(B8, ""RO"", ""EN"")"),"Questionnaire type")</f>
        <v>Questionnaire type</v>
      </c>
      <c r="D8" s="5" t="str">
        <f>IFERROR(__xludf.DUMMYFUNCTION("IF(O8&lt;&gt;"""", GOOGLETRANSLATE(O8, ""RO"", ""EN""), """")"),"")</f>
        <v/>
      </c>
      <c r="E8" s="6" t="str">
        <f>IFERROR(__xludf.DUMMYFUNCTION("IF(P8&lt;&gt;"""", GOOGLETRANSLATE(P8, ""RO"", ""EN""), """")"),"Variant A.")</f>
        <v>Variant A.</v>
      </c>
      <c r="F8" s="5" t="str">
        <f>IFERROR(__xludf.DUMMYFUNCTION("IF(Q8&lt;&gt;"""", GOOGLETRANSLATE(Q8, ""RO"", ""EN""), """")"),"Variant B.")</f>
        <v>Variant B.</v>
      </c>
      <c r="G8" s="5" t="str">
        <f>IFERROR(__xludf.DUMMYFUNCTION("IF(R8&lt;&gt;"""", GOOGLETRANSLATE(R8, ""RO"", ""EN""), """")"),"")</f>
        <v/>
      </c>
      <c r="H8" s="5" t="str">
        <f>IFERROR(__xludf.DUMMYFUNCTION("IF(U8&lt;&gt;"""", GOOGLETRANSLATE(U8, ""RO"", ""EN""), """")"),"")</f>
        <v/>
      </c>
      <c r="I8" s="5" t="str">
        <f>IFERROR(__xludf.DUMMYFUNCTION("IF(V8&lt;&gt;"""", GOOGLETRANSLATE(V8, ""RO"", ""EN""), """")"),"")</f>
        <v/>
      </c>
      <c r="J8" s="5" t="str">
        <f>IFERROR(__xludf.DUMMYFUNCTION("IF(W8&lt;&gt;"""", GOOGLETRANSLATE(W8, ""RO"", ""EN""), """")"),"")</f>
        <v/>
      </c>
      <c r="K8" s="5" t="str">
        <f>IFERROR(__xludf.DUMMYFUNCTION("IF(X8&lt;&gt;"""", GOOGLETRANSLATE(X8, ""RO"", ""EN""), """")"),"")</f>
        <v/>
      </c>
      <c r="L8" s="5" t="str">
        <f>IFERROR(__xludf.DUMMYFUNCTION("IF(S8&lt;&gt;"""", GOOGLETRANSLATE(S8, ""RO"", ""EN""), """")"),"")</f>
        <v/>
      </c>
      <c r="M8" s="5" t="str">
        <f>IFERROR(__xludf.DUMMYFUNCTION("IF(T8&lt;&gt;"""", GOOGLETRANSLATE(T8, ""RO"", ""EN""), """")"),"")</f>
        <v/>
      </c>
      <c r="N8" s="5" t="str">
        <f>IFERROR(__xludf.DUMMYFUNCTION("IF(Y8&lt;&gt;"""", GOOGLETRANSLATE(Y8, ""RO"", ""EN""), """")"),"")</f>
        <v/>
      </c>
      <c r="P8" s="4" t="s">
        <v>88</v>
      </c>
      <c r="Q8" s="4" t="s">
        <v>89</v>
      </c>
    </row>
    <row r="9">
      <c r="A9" s="4" t="s">
        <v>90</v>
      </c>
      <c r="B9" s="4" t="s">
        <v>91</v>
      </c>
      <c r="C9" s="4" t="str">
        <f>IFERROR(__xludf.DUMMYFUNCTION("GOOGLETRANSLATE(B9, ""RO"", ""EN"")"),"This respondent is part of ...")</f>
        <v>This respondent is part of ...</v>
      </c>
      <c r="D9" s="5" t="str">
        <f>IFERROR(__xludf.DUMMYFUNCTION("IF(O9&lt;&gt;"""", GOOGLETRANSLATE(O9, ""RO"", ""EN""), """")"),"")</f>
        <v/>
      </c>
      <c r="E9" s="6" t="str">
        <f>IFERROR(__xludf.DUMMYFUNCTION("IF(P9&lt;&gt;"""", GOOGLETRANSLATE(P9, ""RO"", ""EN""), """")"),"Basic sample (first 8 selected)")</f>
        <v>Basic sample (first 8 selected)</v>
      </c>
      <c r="F9" s="5" t="str">
        <f>IFERROR(__xludf.DUMMYFUNCTION("IF(Q9&lt;&gt;"""", GOOGLETRANSLATE(Q9, ""RO"", ""EN""), """")"),"The reserve sample")</f>
        <v>The reserve sample</v>
      </c>
      <c r="G9" s="5" t="str">
        <f>IFERROR(__xludf.DUMMYFUNCTION("IF(R9&lt;&gt;"""", GOOGLETRANSLATE(R9, ""RO"", ""EN""), """")"),"")</f>
        <v/>
      </c>
      <c r="H9" s="5" t="str">
        <f>IFERROR(__xludf.DUMMYFUNCTION("IF(U9&lt;&gt;"""", GOOGLETRANSLATE(U9, ""RO"", ""EN""), """")"),"")</f>
        <v/>
      </c>
      <c r="I9" s="5" t="str">
        <f>IFERROR(__xludf.DUMMYFUNCTION("IF(V9&lt;&gt;"""", GOOGLETRANSLATE(V9, ""RO"", ""EN""), """")"),"")</f>
        <v/>
      </c>
      <c r="J9" s="5" t="str">
        <f>IFERROR(__xludf.DUMMYFUNCTION("IF(W9&lt;&gt;"""", GOOGLETRANSLATE(W9, ""RO"", ""EN""), """")"),"")</f>
        <v/>
      </c>
      <c r="K9" s="5" t="str">
        <f>IFERROR(__xludf.DUMMYFUNCTION("IF(X9&lt;&gt;"""", GOOGLETRANSLATE(X9, ""RO"", ""EN""), """")"),"")</f>
        <v/>
      </c>
      <c r="L9" s="5" t="str">
        <f>IFERROR(__xludf.DUMMYFUNCTION("IF(S9&lt;&gt;"""", GOOGLETRANSLATE(S9, ""RO"", ""EN""), """")"),"")</f>
        <v/>
      </c>
      <c r="M9" s="5" t="str">
        <f>IFERROR(__xludf.DUMMYFUNCTION("IF(T9&lt;&gt;"""", GOOGLETRANSLATE(T9, ""RO"", ""EN""), """")"),"")</f>
        <v/>
      </c>
      <c r="N9" s="5" t="str">
        <f>IFERROR(__xludf.DUMMYFUNCTION("IF(Y9&lt;&gt;"""", GOOGLETRANSLATE(Y9, ""RO"", ""EN""), """")"),"")</f>
        <v/>
      </c>
      <c r="P9" s="4" t="s">
        <v>92</v>
      </c>
      <c r="Q9" s="4" t="s">
        <v>93</v>
      </c>
    </row>
    <row r="10">
      <c r="A10" s="4" t="s">
        <v>94</v>
      </c>
      <c r="B10" s="4" t="s">
        <v>95</v>
      </c>
      <c r="C10" s="4" t="str">
        <f>IFERROR(__xludf.DUMMYFUNCTION("GOOGLETRANSLATE(B10, ""RO"", ""EN"")"),"The selection of this topic was made ...")</f>
        <v>The selection of this topic was made ...</v>
      </c>
      <c r="D10" s="5" t="str">
        <f>IFERROR(__xludf.DUMMYFUNCTION("IF(O10&lt;&gt;"""", GOOGLETRANSLATE(O10, ""RO"", ""EN""), """")"),"")</f>
        <v/>
      </c>
      <c r="E10" s="6" t="str">
        <f>IFERROR(__xludf.DUMMYFUNCTION("IF(P10&lt;&gt;"""", GOOGLETRANSLATE(P10, ""RO"", ""EN""), """")"),"from the electoral lists")</f>
        <v>from the electoral lists</v>
      </c>
      <c r="F10" s="5" t="str">
        <f>IFERROR(__xludf.DUMMYFUNCTION("IF(Q10&lt;&gt;"""", GOOGLETRANSLATE(Q10, ""RO"", ""EN""), """")"),"from other lists, apart from the electoral")</f>
        <v>from other lists, apart from the electoral</v>
      </c>
      <c r="G10" s="5" t="str">
        <f>IFERROR(__xludf.DUMMYFUNCTION("IF(R10&lt;&gt;"""", GOOGLETRANSLATE(R10, ""RO"", ""EN""), """")"),"By the random road method")</f>
        <v>By the random road method</v>
      </c>
      <c r="H10" s="5" t="str">
        <f>IFERROR(__xludf.DUMMYFUNCTION("IF(U10&lt;&gt;"""", GOOGLETRANSLATE(U10, ""RO"", ""EN""), """")"),"")</f>
        <v/>
      </c>
      <c r="I10" s="5" t="str">
        <f>IFERROR(__xludf.DUMMYFUNCTION("IF(V10&lt;&gt;"""", GOOGLETRANSLATE(V10, ""RO"", ""EN""), """")"),"")</f>
        <v/>
      </c>
      <c r="J10" s="5" t="str">
        <f>IFERROR(__xludf.DUMMYFUNCTION("IF(W10&lt;&gt;"""", GOOGLETRANSLATE(W10, ""RO"", ""EN""), """")"),"")</f>
        <v/>
      </c>
      <c r="K10" s="5" t="str">
        <f>IFERROR(__xludf.DUMMYFUNCTION("IF(X10&lt;&gt;"""", GOOGLETRANSLATE(X10, ""RO"", ""EN""), """")"),"")</f>
        <v/>
      </c>
      <c r="L10" s="5" t="str">
        <f>IFERROR(__xludf.DUMMYFUNCTION("IF(S10&lt;&gt;"""", GOOGLETRANSLATE(S10, ""RO"", ""EN""), """")"),"")</f>
        <v/>
      </c>
      <c r="M10" s="5" t="str">
        <f>IFERROR(__xludf.DUMMYFUNCTION("IF(T10&lt;&gt;"""", GOOGLETRANSLATE(T10, ""RO"", ""EN""), """")"),"")</f>
        <v/>
      </c>
      <c r="N10" s="5" t="str">
        <f>IFERROR(__xludf.DUMMYFUNCTION("IF(Y10&lt;&gt;"""", GOOGLETRANSLATE(Y10, ""RO"", ""EN""), """")"),"")</f>
        <v/>
      </c>
      <c r="P10" s="4" t="s">
        <v>96</v>
      </c>
      <c r="Q10" s="4" t="s">
        <v>97</v>
      </c>
      <c r="R10" s="4" t="s">
        <v>98</v>
      </c>
    </row>
    <row r="11">
      <c r="A11" s="4" t="s">
        <v>99</v>
      </c>
      <c r="B11" s="4" t="s">
        <v>100</v>
      </c>
      <c r="C11" s="4" t="str">
        <f>IFERROR(__xludf.DUMMYFUNCTION("GOOGLETRANSLATE(B11, ""RO"", ""EN"")"),"Do you think that in our country things go in a good direction or in a wrong direction?")</f>
        <v>Do you think that in our country things go in a good direction or in a wrong direction?</v>
      </c>
      <c r="D11" s="5" t="str">
        <f>IFERROR(__xludf.DUMMYFUNCTION("IF(O11&lt;&gt;"""", GOOGLETRANSLATE(O11, ""RO"", ""EN""), """")"),"")</f>
        <v/>
      </c>
      <c r="E11" s="6" t="str">
        <f>IFERROR(__xludf.DUMMYFUNCTION("IF(P11&lt;&gt;"""", GOOGLETRANSLATE(P11, ""RO"", ""EN""), """")"),"The direction is good")</f>
        <v>The direction is good</v>
      </c>
      <c r="F11" s="5" t="str">
        <f>IFERROR(__xludf.DUMMYFUNCTION("IF(Q11&lt;&gt;"""", GOOGLETRANSLATE(Q11, ""RO"", ""EN""), """")"),"The direction is wrong")</f>
        <v>The direction is wrong</v>
      </c>
      <c r="G11" s="5" t="str">
        <f>IFERROR(__xludf.DUMMYFUNCTION("IF(R11&lt;&gt;"""", GOOGLETRANSLATE(R11, ""RO"", ""EN""), """")"),"")</f>
        <v/>
      </c>
      <c r="H11" s="5" t="str">
        <f>IFERROR(__xludf.DUMMYFUNCTION("IF(U11&lt;&gt;"""", GOOGLETRANSLATE(U11, ""RO"", ""EN""), """")"),"")</f>
        <v/>
      </c>
      <c r="I11" s="5" t="str">
        <f>IFERROR(__xludf.DUMMYFUNCTION("IF(V11&lt;&gt;"""", GOOGLETRANSLATE(V11, ""RO"", ""EN""), """")"),"")</f>
        <v/>
      </c>
      <c r="J11" s="5" t="str">
        <f>IFERROR(__xludf.DUMMYFUNCTION("IF(W11&lt;&gt;"""", GOOGLETRANSLATE(W11, ""RO"", ""EN""), """")"),"")</f>
        <v/>
      </c>
      <c r="K11" s="5" t="str">
        <f>IFERROR(__xludf.DUMMYFUNCTION("IF(X11&lt;&gt;"""", GOOGLETRANSLATE(X11, ""RO"", ""EN""), """")"),"")</f>
        <v/>
      </c>
      <c r="L11" s="5" t="str">
        <f>IFERROR(__xludf.DUMMYFUNCTION("IF(S11&lt;&gt;"""", GOOGLETRANSLATE(S11, ""RO"", ""EN""), """")"),"Ns")</f>
        <v>Ns</v>
      </c>
      <c r="M11" s="5" t="str">
        <f>IFERROR(__xludf.DUMMYFUNCTION("IF(T11&lt;&gt;"""", GOOGLETRANSLATE(T11, ""RO"", ""EN""), """")"),"No.")</f>
        <v>No.</v>
      </c>
      <c r="N11" s="5" t="str">
        <f>IFERROR(__xludf.DUMMYFUNCTION("IF(Y11&lt;&gt;"""", GOOGLETRANSLATE(Y11, ""RO"", ""EN""), """")"),"")</f>
        <v/>
      </c>
      <c r="P11" s="4" t="s">
        <v>101</v>
      </c>
      <c r="Q11" s="4" t="s">
        <v>102</v>
      </c>
      <c r="S11" s="4" t="s">
        <v>103</v>
      </c>
      <c r="T11" s="4" t="s">
        <v>104</v>
      </c>
    </row>
    <row r="12">
      <c r="A12" s="4" t="s">
        <v>105</v>
      </c>
      <c r="B12" s="4" t="s">
        <v>106</v>
      </c>
      <c r="C12" s="4" t="str">
        <f>IFERROR(__xludf.DUMMYFUNCTION("GOOGLETRANSLATE(B12, ""RO"", ""EN"")"),"How satisfied are you generally in the way you live?")</f>
        <v>How satisfied are you generally in the way you live?</v>
      </c>
      <c r="D12" s="5" t="str">
        <f>IFERROR(__xludf.DUMMYFUNCTION("IF(O12&lt;&gt;"""", GOOGLETRANSLATE(O12, ""RO"", ""EN""), """")"),"")</f>
        <v/>
      </c>
      <c r="E12" s="6" t="str">
        <f>IFERROR(__xludf.DUMMYFUNCTION("IF(P12&lt;&gt;"""", GOOGLETRANSLATE(P12, ""RO"", ""EN""), """")"),"Not satisfied")</f>
        <v>Not satisfied</v>
      </c>
      <c r="F12" s="5" t="str">
        <f>IFERROR(__xludf.DUMMYFUNCTION("IF(Q12&lt;&gt;"""", GOOGLETRANSLATE(Q12, ""RO"", ""EN""), """")"),"Not too pleased")</f>
        <v>Not too pleased</v>
      </c>
      <c r="G12" s="5" t="str">
        <f>IFERROR(__xludf.DUMMYFUNCTION("IF(R12&lt;&gt;"""", GOOGLETRANSLATE(R12, ""RO"", ""EN""), """")"),"Quite satisfied")</f>
        <v>Quite satisfied</v>
      </c>
      <c r="H12" s="5" t="str">
        <f>IFERROR(__xludf.DUMMYFUNCTION("IF(U12&lt;&gt;"""", GOOGLETRANSLATE(U12, ""RO"", ""EN""), """")"),"Very pleased")</f>
        <v>Very pleased</v>
      </c>
      <c r="I12" s="5" t="str">
        <f>IFERROR(__xludf.DUMMYFUNCTION("IF(V12&lt;&gt;"""", GOOGLETRANSLATE(V12, ""RO"", ""EN""), """")"),"")</f>
        <v/>
      </c>
      <c r="J12" s="5" t="str">
        <f>IFERROR(__xludf.DUMMYFUNCTION("IF(W12&lt;&gt;"""", GOOGLETRANSLATE(W12, ""RO"", ""EN""), """")"),"")</f>
        <v/>
      </c>
      <c r="K12" s="5" t="str">
        <f>IFERROR(__xludf.DUMMYFUNCTION("IF(X12&lt;&gt;"""", GOOGLETRANSLATE(X12, ""RO"", ""EN""), """")"),"")</f>
        <v/>
      </c>
      <c r="L12" s="5" t="str">
        <f>IFERROR(__xludf.DUMMYFUNCTION("IF(S12&lt;&gt;"""", GOOGLETRANSLATE(S12, ""RO"", ""EN""), """")"),"Ns")</f>
        <v>Ns</v>
      </c>
      <c r="M12" s="5" t="str">
        <f>IFERROR(__xludf.DUMMYFUNCTION("IF(T12&lt;&gt;"""", GOOGLETRANSLATE(T12, ""RO"", ""EN""), """")"),"No.")</f>
        <v>No.</v>
      </c>
      <c r="N12" s="5" t="str">
        <f>IFERROR(__xludf.DUMMYFUNCTION("IF(Y12&lt;&gt;"""", GOOGLETRANSLATE(Y12, ""RO"", ""EN""), """")"),"")</f>
        <v/>
      </c>
      <c r="P12" s="4" t="s">
        <v>107</v>
      </c>
      <c r="Q12" s="4" t="s">
        <v>108</v>
      </c>
      <c r="R12" s="4" t="s">
        <v>109</v>
      </c>
      <c r="S12" s="4" t="s">
        <v>103</v>
      </c>
      <c r="T12" s="4" t="s">
        <v>104</v>
      </c>
      <c r="U12" s="4" t="s">
        <v>110</v>
      </c>
    </row>
    <row r="13">
      <c r="A13" s="4" t="s">
        <v>111</v>
      </c>
      <c r="B13" s="4" t="s">
        <v>112</v>
      </c>
      <c r="C13" s="4" t="str">
        <f>IFERROR(__xludf.DUMMYFUNCTION("GOOGLETRANSLATE(B13, ""RO"", ""EN"")"),"How is your life currently compared to a year ago?")</f>
        <v>How is your life currently compared to a year ago?</v>
      </c>
      <c r="D13" s="5" t="str">
        <f>IFERROR(__xludf.DUMMYFUNCTION("IF(O13&lt;&gt;"""", GOOGLETRANSLATE(O13, ""RO"", ""EN""), """")"),"")</f>
        <v/>
      </c>
      <c r="E13" s="6" t="str">
        <f>IFERROR(__xludf.DUMMYFUNCTION("IF(P13&lt;&gt;"""", GOOGLETRANSLATE(P13, ""RO"", ""EN""), """")"),"Much better")</f>
        <v>Much better</v>
      </c>
      <c r="F13" s="5" t="str">
        <f>IFERROR(__xludf.DUMMYFUNCTION("IF(Q13&lt;&gt;"""", GOOGLETRANSLATE(Q13, ""RO"", ""EN""), """")"),"Better")</f>
        <v>Better</v>
      </c>
      <c r="G13" s="5" t="str">
        <f>IFERROR(__xludf.DUMMYFUNCTION("IF(R13&lt;&gt;"""", GOOGLETRANSLATE(R13, ""RO"", ""EN""), """")"),"About the same")</f>
        <v>About the same</v>
      </c>
      <c r="H13" s="5" t="str">
        <f>IFERROR(__xludf.DUMMYFUNCTION("IF(U13&lt;&gt;"""", GOOGLETRANSLATE(U13, ""RO"", ""EN""), """")"),"Worse")</f>
        <v>Worse</v>
      </c>
      <c r="I13" s="5" t="str">
        <f>IFERROR(__xludf.DUMMYFUNCTION("IF(V13&lt;&gt;"""", GOOGLETRANSLATE(V13, ""RO"", ""EN""), """")"),"Much worse")</f>
        <v>Much worse</v>
      </c>
      <c r="J13" s="5" t="str">
        <f>IFERROR(__xludf.DUMMYFUNCTION("IF(W13&lt;&gt;"""", GOOGLETRANSLATE(W13, ""RO"", ""EN""), """")"),"")</f>
        <v/>
      </c>
      <c r="K13" s="5" t="str">
        <f>IFERROR(__xludf.DUMMYFUNCTION("IF(X13&lt;&gt;"""", GOOGLETRANSLATE(X13, ""RO"", ""EN""), """")"),"")</f>
        <v/>
      </c>
      <c r="L13" s="5" t="str">
        <f>IFERROR(__xludf.DUMMYFUNCTION("IF(S13&lt;&gt;"""", GOOGLETRANSLATE(S13, ""RO"", ""EN""), """")"),"Ns")</f>
        <v>Ns</v>
      </c>
      <c r="M13" s="5" t="str">
        <f>IFERROR(__xludf.DUMMYFUNCTION("IF(T13&lt;&gt;"""", GOOGLETRANSLATE(T13, ""RO"", ""EN""), """")"),"No.")</f>
        <v>No.</v>
      </c>
      <c r="N13" s="5" t="str">
        <f>IFERROR(__xludf.DUMMYFUNCTION("IF(Y13&lt;&gt;"""", GOOGLETRANSLATE(Y13, ""RO"", ""EN""), """")"),"")</f>
        <v/>
      </c>
      <c r="P13" s="4" t="s">
        <v>113</v>
      </c>
      <c r="Q13" s="4" t="s">
        <v>114</v>
      </c>
      <c r="R13" s="4" t="s">
        <v>115</v>
      </c>
      <c r="S13" s="4" t="s">
        <v>103</v>
      </c>
      <c r="T13" s="4" t="s">
        <v>104</v>
      </c>
      <c r="U13" s="4" t="s">
        <v>116</v>
      </c>
      <c r="V13" s="4" t="s">
        <v>117</v>
      </c>
    </row>
    <row r="14">
      <c r="A14" s="4" t="s">
        <v>118</v>
      </c>
      <c r="B14" s="4" t="s">
        <v>119</v>
      </c>
      <c r="C14" s="4" t="str">
        <f>IFERROR(__xludf.DUMMYFUNCTION("GOOGLETRANSLATE(B14, ""RO"", ""EN"")"),"How do you think you will live over a year?")</f>
        <v>How do you think you will live over a year?</v>
      </c>
      <c r="D14" s="5" t="str">
        <f>IFERROR(__xludf.DUMMYFUNCTION("IF(O14&lt;&gt;"""", GOOGLETRANSLATE(O14, ""RO"", ""EN""), """")"),"")</f>
        <v/>
      </c>
      <c r="E14" s="6" t="str">
        <f>IFERROR(__xludf.DUMMYFUNCTION("IF(P14&lt;&gt;"""", GOOGLETRANSLATE(P14, ""RO"", ""EN""), """")"),"Better")</f>
        <v>Better</v>
      </c>
      <c r="F14" s="5" t="str">
        <f>IFERROR(__xludf.DUMMYFUNCTION("IF(Q14&lt;&gt;"""", GOOGLETRANSLATE(Q14, ""RO"", ""EN""), """")"),"Better")</f>
        <v>Better</v>
      </c>
      <c r="G14" s="5" t="str">
        <f>IFERROR(__xludf.DUMMYFUNCTION("IF(R14&lt;&gt;"""", GOOGLETRANSLATE(R14, ""RO"", ""EN""), """")"),"About the same")</f>
        <v>About the same</v>
      </c>
      <c r="H14" s="5" t="str">
        <f>IFERROR(__xludf.DUMMYFUNCTION("IF(U14&lt;&gt;"""", GOOGLETRANSLATE(U14, ""RO"", ""EN""), """")"),"Worse")</f>
        <v>Worse</v>
      </c>
      <c r="I14" s="5" t="str">
        <f>IFERROR(__xludf.DUMMYFUNCTION("IF(V14&lt;&gt;"""", GOOGLETRANSLATE(V14, ""RO"", ""EN""), """")"),"Much worse")</f>
        <v>Much worse</v>
      </c>
      <c r="J14" s="5" t="str">
        <f>IFERROR(__xludf.DUMMYFUNCTION("IF(W14&lt;&gt;"""", GOOGLETRANSLATE(W14, ""RO"", ""EN""), """")"),"")</f>
        <v/>
      </c>
      <c r="K14" s="5" t="str">
        <f>IFERROR(__xludf.DUMMYFUNCTION("IF(X14&lt;&gt;"""", GOOGLETRANSLATE(X14, ""RO"", ""EN""), """")"),"")</f>
        <v/>
      </c>
      <c r="L14" s="5" t="str">
        <f>IFERROR(__xludf.DUMMYFUNCTION("IF(S14&lt;&gt;"""", GOOGLETRANSLATE(S14, ""RO"", ""EN""), """")"),"Ns")</f>
        <v>Ns</v>
      </c>
      <c r="M14" s="5" t="str">
        <f>IFERROR(__xludf.DUMMYFUNCTION("IF(T14&lt;&gt;"""", GOOGLETRANSLATE(T14, ""RO"", ""EN""), """")"),"No.")</f>
        <v>No.</v>
      </c>
      <c r="N14" s="5" t="str">
        <f>IFERROR(__xludf.DUMMYFUNCTION("IF(Y14&lt;&gt;"""", GOOGLETRANSLATE(Y14, ""RO"", ""EN""), """")"),"")</f>
        <v/>
      </c>
      <c r="P14" s="4" t="s">
        <v>120</v>
      </c>
      <c r="Q14" s="4" t="s">
        <v>121</v>
      </c>
      <c r="R14" s="4" t="s">
        <v>115</v>
      </c>
      <c r="S14" s="4" t="s">
        <v>103</v>
      </c>
      <c r="T14" s="4" t="s">
        <v>104</v>
      </c>
      <c r="U14" s="4" t="s">
        <v>122</v>
      </c>
      <c r="V14" s="4" t="s">
        <v>123</v>
      </c>
    </row>
    <row r="15">
      <c r="A15" s="4" t="s">
        <v>124</v>
      </c>
      <c r="B15" s="4" t="s">
        <v>125</v>
      </c>
      <c r="C15" s="4" t="str">
        <f>IFERROR(__xludf.DUMMYFUNCTION("GOOGLETRANSLATE(B15, ""RO"", ""EN"")"),"Do you think that this year, in Romania, ... they have grown, have / have decreased or have left the same? unemployed")</f>
        <v>Do you think that this year, in Romania, ... they have grown, have / have decreased or have left the same? unemployed</v>
      </c>
      <c r="D15" s="5" t="str">
        <f>IFERROR(__xludf.DUMMYFUNCTION("IF(O15&lt;&gt;"""", GOOGLETRANSLATE(O15, ""RO"", ""EN""), """")"),"")</f>
        <v/>
      </c>
      <c r="E15" s="6" t="str">
        <f>IFERROR(__xludf.DUMMYFUNCTION("IF(P15&lt;&gt;"""", GOOGLETRANSLATE(P15, ""RO"", ""EN""), """")"),"a / have decreased a lot")</f>
        <v>a / have decreased a lot</v>
      </c>
      <c r="F15" s="5" t="str">
        <f>IFERROR(__xludf.DUMMYFUNCTION("IF(Q15&lt;&gt;"""", GOOGLETRANSLATE(Q15, ""RO"", ""EN""), """")"),"a / have dropped a little")</f>
        <v>a / have dropped a little</v>
      </c>
      <c r="G15" s="5" t="str">
        <f>IFERROR(__xludf.DUMMYFUNCTION("IF(R15&lt;&gt;"""", GOOGLETRANSLATE(R15, ""RO"", ""EN""), """")"),"a / they stayed about the same")</f>
        <v>a / they stayed about the same</v>
      </c>
      <c r="H15" s="5" t="str">
        <f>IFERROR(__xludf.DUMMYFUNCTION("IF(U15&lt;&gt;"""", GOOGLETRANSLATE(U15, ""RO"", ""EN""), """")"),"a / have grown up a little")</f>
        <v>a / have grown up a little</v>
      </c>
      <c r="I15" s="5" t="str">
        <f>IFERROR(__xludf.DUMMYFUNCTION("IF(V15&lt;&gt;"""", GOOGLETRANSLATE(V15, ""RO"", ""EN""), """")"),"a / have grown up a lot")</f>
        <v>a / have grown up a lot</v>
      </c>
      <c r="J15" s="5" t="str">
        <f>IFERROR(__xludf.DUMMYFUNCTION("IF(W15&lt;&gt;"""", GOOGLETRANSLATE(W15, ""RO"", ""EN""), """")"),"")</f>
        <v/>
      </c>
      <c r="K15" s="5" t="str">
        <f>IFERROR(__xludf.DUMMYFUNCTION("IF(X15&lt;&gt;"""", GOOGLETRANSLATE(X15, ""RO"", ""EN""), """")"),"")</f>
        <v/>
      </c>
      <c r="L15" s="5" t="str">
        <f>IFERROR(__xludf.DUMMYFUNCTION("IF(S15&lt;&gt;"""", GOOGLETRANSLATE(S15, ""RO"", ""EN""), """")"),"Ns")</f>
        <v>Ns</v>
      </c>
      <c r="M15" s="5" t="str">
        <f>IFERROR(__xludf.DUMMYFUNCTION("IF(T15&lt;&gt;"""", GOOGLETRANSLATE(T15, ""RO"", ""EN""), """")"),"No.")</f>
        <v>No.</v>
      </c>
      <c r="N15" s="5" t="str">
        <f>IFERROR(__xludf.DUMMYFUNCTION("IF(Y15&lt;&gt;"""", GOOGLETRANSLATE(Y15, ""RO"", ""EN""), """")"),"")</f>
        <v/>
      </c>
      <c r="P15" s="4" t="s">
        <v>126</v>
      </c>
      <c r="Q15" s="4" t="s">
        <v>127</v>
      </c>
      <c r="R15" s="4" t="s">
        <v>128</v>
      </c>
      <c r="S15" s="4" t="s">
        <v>103</v>
      </c>
      <c r="T15" s="4" t="s">
        <v>104</v>
      </c>
      <c r="U15" s="4" t="s">
        <v>129</v>
      </c>
      <c r="V15" s="4" t="s">
        <v>130</v>
      </c>
    </row>
    <row r="16">
      <c r="A16" s="4" t="s">
        <v>131</v>
      </c>
      <c r="B16" s="4" t="s">
        <v>132</v>
      </c>
      <c r="C16" s="4" t="str">
        <f>IFERROR(__xludf.DUMMYFUNCTION("GOOGLETRANSLATE(B16, ""RO"", ""EN"")"),"... prices")</f>
        <v>... prices</v>
      </c>
      <c r="D16" s="5" t="str">
        <f>IFERROR(__xludf.DUMMYFUNCTION("IF(O16&lt;&gt;"""", GOOGLETRANSLATE(O16, ""RO"", ""EN""), """")"),"")</f>
        <v/>
      </c>
      <c r="E16" s="6" t="str">
        <f>IFERROR(__xludf.DUMMYFUNCTION("IF(P16&lt;&gt;"""", GOOGLETRANSLATE(P16, ""RO"", ""EN""), """")"),"a / have decreased a lot")</f>
        <v>a / have decreased a lot</v>
      </c>
      <c r="F16" s="5" t="str">
        <f>IFERROR(__xludf.DUMMYFUNCTION("IF(Q16&lt;&gt;"""", GOOGLETRANSLATE(Q16, ""RO"", ""EN""), """")"),"a / have dropped a little")</f>
        <v>a / have dropped a little</v>
      </c>
      <c r="G16" s="5" t="str">
        <f>IFERROR(__xludf.DUMMYFUNCTION("IF(R16&lt;&gt;"""", GOOGLETRANSLATE(R16, ""RO"", ""EN""), """")"),"a / they stayed about the same")</f>
        <v>a / they stayed about the same</v>
      </c>
      <c r="H16" s="5" t="str">
        <f>IFERROR(__xludf.DUMMYFUNCTION("IF(U16&lt;&gt;"""", GOOGLETRANSLATE(U16, ""RO"", ""EN""), """")"),"a / have grown up a little")</f>
        <v>a / have grown up a little</v>
      </c>
      <c r="I16" s="5" t="str">
        <f>IFERROR(__xludf.DUMMYFUNCTION("IF(V16&lt;&gt;"""", GOOGLETRANSLATE(V16, ""RO"", ""EN""), """")"),"a / have grown up a lot")</f>
        <v>a / have grown up a lot</v>
      </c>
      <c r="J16" s="5" t="str">
        <f>IFERROR(__xludf.DUMMYFUNCTION("IF(W16&lt;&gt;"""", GOOGLETRANSLATE(W16, ""RO"", ""EN""), """")"),"")</f>
        <v/>
      </c>
      <c r="K16" s="5" t="str">
        <f>IFERROR(__xludf.DUMMYFUNCTION("IF(X16&lt;&gt;"""", GOOGLETRANSLATE(X16, ""RO"", ""EN""), """")"),"")</f>
        <v/>
      </c>
      <c r="L16" s="5" t="str">
        <f>IFERROR(__xludf.DUMMYFUNCTION("IF(S16&lt;&gt;"""", GOOGLETRANSLATE(S16, ""RO"", ""EN""), """")"),"Ns")</f>
        <v>Ns</v>
      </c>
      <c r="M16" s="5" t="str">
        <f>IFERROR(__xludf.DUMMYFUNCTION("IF(T16&lt;&gt;"""", GOOGLETRANSLATE(T16, ""RO"", ""EN""), """")"),"No.")</f>
        <v>No.</v>
      </c>
      <c r="N16" s="5" t="str">
        <f>IFERROR(__xludf.DUMMYFUNCTION("IF(Y16&lt;&gt;"""", GOOGLETRANSLATE(Y16, ""RO"", ""EN""), """")"),"")</f>
        <v/>
      </c>
      <c r="P16" s="4" t="s">
        <v>126</v>
      </c>
      <c r="Q16" s="4" t="s">
        <v>127</v>
      </c>
      <c r="R16" s="4" t="s">
        <v>128</v>
      </c>
      <c r="S16" s="4" t="s">
        <v>103</v>
      </c>
      <c r="T16" s="4" t="s">
        <v>104</v>
      </c>
      <c r="U16" s="4" t="s">
        <v>129</v>
      </c>
      <c r="V16" s="4" t="s">
        <v>130</v>
      </c>
    </row>
    <row r="17">
      <c r="A17" s="4" t="s">
        <v>133</v>
      </c>
      <c r="B17" s="4" t="s">
        <v>134</v>
      </c>
      <c r="C17" s="4" t="str">
        <f>IFERROR(__xludf.DUMMYFUNCTION("GOOGLETRANSLATE(B17, ""RO"", ""EN"")"),"... people's income")</f>
        <v>... people's income</v>
      </c>
      <c r="D17" s="5" t="str">
        <f>IFERROR(__xludf.DUMMYFUNCTION("IF(O17&lt;&gt;"""", GOOGLETRANSLATE(O17, ""RO"", ""EN""), """")"),"")</f>
        <v/>
      </c>
      <c r="E17" s="6" t="str">
        <f>IFERROR(__xludf.DUMMYFUNCTION("IF(P17&lt;&gt;"""", GOOGLETRANSLATE(P17, ""RO"", ""EN""), """")"),"a / have decreased a lot")</f>
        <v>a / have decreased a lot</v>
      </c>
      <c r="F17" s="5" t="str">
        <f>IFERROR(__xludf.DUMMYFUNCTION("IF(Q17&lt;&gt;"""", GOOGLETRANSLATE(Q17, ""RO"", ""EN""), """")"),"a / have dropped a little")</f>
        <v>a / have dropped a little</v>
      </c>
      <c r="G17" s="5" t="str">
        <f>IFERROR(__xludf.DUMMYFUNCTION("IF(R17&lt;&gt;"""", GOOGLETRANSLATE(R17, ""RO"", ""EN""), """")"),"a / they stayed about the same")</f>
        <v>a / they stayed about the same</v>
      </c>
      <c r="H17" s="5" t="str">
        <f>IFERROR(__xludf.DUMMYFUNCTION("IF(U17&lt;&gt;"""", GOOGLETRANSLATE(U17, ""RO"", ""EN""), """")"),"a / have grown up a little")</f>
        <v>a / have grown up a little</v>
      </c>
      <c r="I17" s="5" t="str">
        <f>IFERROR(__xludf.DUMMYFUNCTION("IF(V17&lt;&gt;"""", GOOGLETRANSLATE(V17, ""RO"", ""EN""), """")"),"a / have grown up a lot")</f>
        <v>a / have grown up a lot</v>
      </c>
      <c r="J17" s="5" t="str">
        <f>IFERROR(__xludf.DUMMYFUNCTION("IF(W17&lt;&gt;"""", GOOGLETRANSLATE(W17, ""RO"", ""EN""), """")"),"")</f>
        <v/>
      </c>
      <c r="K17" s="5" t="str">
        <f>IFERROR(__xludf.DUMMYFUNCTION("IF(X17&lt;&gt;"""", GOOGLETRANSLATE(X17, ""RO"", ""EN""), """")"),"")</f>
        <v/>
      </c>
      <c r="L17" s="5" t="str">
        <f>IFERROR(__xludf.DUMMYFUNCTION("IF(S17&lt;&gt;"""", GOOGLETRANSLATE(S17, ""RO"", ""EN""), """")"),"Ns")</f>
        <v>Ns</v>
      </c>
      <c r="M17" s="5" t="str">
        <f>IFERROR(__xludf.DUMMYFUNCTION("IF(T17&lt;&gt;"""", GOOGLETRANSLATE(T17, ""RO"", ""EN""), """")"),"No.")</f>
        <v>No.</v>
      </c>
      <c r="N17" s="5" t="str">
        <f>IFERROR(__xludf.DUMMYFUNCTION("IF(Y17&lt;&gt;"""", GOOGLETRANSLATE(Y17, ""RO"", ""EN""), """")"),"")</f>
        <v/>
      </c>
      <c r="P17" s="4" t="s">
        <v>126</v>
      </c>
      <c r="Q17" s="4" t="s">
        <v>127</v>
      </c>
      <c r="R17" s="4" t="s">
        <v>128</v>
      </c>
      <c r="S17" s="4" t="s">
        <v>103</v>
      </c>
      <c r="T17" s="4" t="s">
        <v>104</v>
      </c>
      <c r="U17" s="4" t="s">
        <v>129</v>
      </c>
      <c r="V17" s="4" t="s">
        <v>130</v>
      </c>
    </row>
    <row r="18">
      <c r="A18" s="4" t="s">
        <v>135</v>
      </c>
      <c r="B18" s="4" t="s">
        <v>136</v>
      </c>
      <c r="C18" s="4" t="str">
        <f>IFERROR(__xludf.DUMMYFUNCTION("GOOGLETRANSLATE(B18, ""RO"", ""EN"")"),"Compared to 2004, do you think that at present, the economy of Romania ... It works better, worse or the same? Much better / bad or just better / bad?")</f>
        <v>Compared to 2004, do you think that at present, the economy of Romania ... It works better, worse or the same? Much better / bad or just better / bad?</v>
      </c>
      <c r="D18" s="5" t="str">
        <f>IFERROR(__xludf.DUMMYFUNCTION("IF(O18&lt;&gt;"""", GOOGLETRANSLATE(O18, ""RO"", ""EN""), """")"),"")</f>
        <v/>
      </c>
      <c r="E18" s="6" t="str">
        <f>IFERROR(__xludf.DUMMYFUNCTION("IF(P18&lt;&gt;"""", GOOGLETRANSLATE(P18, ""RO"", ""EN""), """")"),"Much better / good")</f>
        <v>Much better / good</v>
      </c>
      <c r="F18" s="5" t="str">
        <f>IFERROR(__xludf.DUMMYFUNCTION("IF(Q18&lt;&gt;"""", GOOGLETRANSLATE(Q18, ""RO"", ""EN""), """")"),"Better/ good")</f>
        <v>Better/ good</v>
      </c>
      <c r="G18" s="5" t="str">
        <f>IFERROR(__xludf.DUMMYFUNCTION("IF(R18&lt;&gt;"""", GOOGLETRANSLATE(R18, ""RO"", ""EN""), """")"),"About the same")</f>
        <v>About the same</v>
      </c>
      <c r="H18" s="5" t="str">
        <f>IFERROR(__xludf.DUMMYFUNCTION("IF(U18&lt;&gt;"""", GOOGLETRANSLATE(U18, ""RO"", ""EN""), """")"),"Worse / rea")</f>
        <v>Worse / rea</v>
      </c>
      <c r="I18" s="5" t="str">
        <f>IFERROR(__xludf.DUMMYFUNCTION("IF(V18&lt;&gt;"""", GOOGLETRANSLATE(V18, ""RO"", ""EN""), """")"),"Much worse / bad")</f>
        <v>Much worse / bad</v>
      </c>
      <c r="J18" s="5" t="str">
        <f>IFERROR(__xludf.DUMMYFUNCTION("IF(W18&lt;&gt;"""", GOOGLETRANSLATE(W18, ""RO"", ""EN""), """")"),"")</f>
        <v/>
      </c>
      <c r="K18" s="5" t="str">
        <f>IFERROR(__xludf.DUMMYFUNCTION("IF(X18&lt;&gt;"""", GOOGLETRANSLATE(X18, ""RO"", ""EN""), """")"),"")</f>
        <v/>
      </c>
      <c r="L18" s="5" t="str">
        <f>IFERROR(__xludf.DUMMYFUNCTION("IF(S18&lt;&gt;"""", GOOGLETRANSLATE(S18, ""RO"", ""EN""), """")"),"Ns")</f>
        <v>Ns</v>
      </c>
      <c r="M18" s="5" t="str">
        <f>IFERROR(__xludf.DUMMYFUNCTION("IF(T18&lt;&gt;"""", GOOGLETRANSLATE(T18, ""RO"", ""EN""), """")"),"No.")</f>
        <v>No.</v>
      </c>
      <c r="N18" s="5" t="str">
        <f>IFERROR(__xludf.DUMMYFUNCTION("IF(Y18&lt;&gt;"""", GOOGLETRANSLATE(Y18, ""RO"", ""EN""), """")"),"")</f>
        <v/>
      </c>
      <c r="P18" s="4" t="s">
        <v>137</v>
      </c>
      <c r="Q18" s="4" t="s">
        <v>138</v>
      </c>
      <c r="R18" s="4" t="s">
        <v>115</v>
      </c>
      <c r="S18" s="4" t="s">
        <v>103</v>
      </c>
      <c r="T18" s="4" t="s">
        <v>104</v>
      </c>
      <c r="U18" s="4" t="s">
        <v>139</v>
      </c>
      <c r="V18" s="4" t="s">
        <v>140</v>
      </c>
    </row>
    <row r="19">
      <c r="A19" s="4" t="s">
        <v>141</v>
      </c>
      <c r="B19" s="4" t="s">
        <v>142</v>
      </c>
      <c r="C19" s="4" t="str">
        <f>IFERROR(__xludf.DUMMYFUNCTION("GOOGLETRANSLATE(B19, ""RO"", ""EN"")"),"But the economy of your locality ...? (Currently compared to 2004)")</f>
        <v>But the economy of your locality ...? (Currently compared to 2004)</v>
      </c>
      <c r="D19" s="5" t="str">
        <f>IFERROR(__xludf.DUMMYFUNCTION("IF(O19&lt;&gt;"""", GOOGLETRANSLATE(O19, ""RO"", ""EN""), """")"),"")</f>
        <v/>
      </c>
      <c r="E19" s="6" t="str">
        <f>IFERROR(__xludf.DUMMYFUNCTION("IF(P19&lt;&gt;"""", GOOGLETRANSLATE(P19, ""RO"", ""EN""), """")"),"Much better / good")</f>
        <v>Much better / good</v>
      </c>
      <c r="F19" s="5" t="str">
        <f>IFERROR(__xludf.DUMMYFUNCTION("IF(Q19&lt;&gt;"""", GOOGLETRANSLATE(Q19, ""RO"", ""EN""), """")"),"Better/ good")</f>
        <v>Better/ good</v>
      </c>
      <c r="G19" s="5" t="str">
        <f>IFERROR(__xludf.DUMMYFUNCTION("IF(R19&lt;&gt;"""", GOOGLETRANSLATE(R19, ""RO"", ""EN""), """")"),"About the same")</f>
        <v>About the same</v>
      </c>
      <c r="H19" s="5" t="str">
        <f>IFERROR(__xludf.DUMMYFUNCTION("IF(U19&lt;&gt;"""", GOOGLETRANSLATE(U19, ""RO"", ""EN""), """")"),"Worse / rea")</f>
        <v>Worse / rea</v>
      </c>
      <c r="I19" s="5" t="str">
        <f>IFERROR(__xludf.DUMMYFUNCTION("IF(V19&lt;&gt;"""", GOOGLETRANSLATE(V19, ""RO"", ""EN""), """")"),"Much worse / bad")</f>
        <v>Much worse / bad</v>
      </c>
      <c r="J19" s="5" t="str">
        <f>IFERROR(__xludf.DUMMYFUNCTION("IF(W19&lt;&gt;"""", GOOGLETRANSLATE(W19, ""RO"", ""EN""), """")"),"")</f>
        <v/>
      </c>
      <c r="K19" s="5" t="str">
        <f>IFERROR(__xludf.DUMMYFUNCTION("IF(X19&lt;&gt;"""", GOOGLETRANSLATE(X19, ""RO"", ""EN""), """")"),"")</f>
        <v/>
      </c>
      <c r="L19" s="5" t="str">
        <f>IFERROR(__xludf.DUMMYFUNCTION("IF(S19&lt;&gt;"""", GOOGLETRANSLATE(S19, ""RO"", ""EN""), """")"),"Ns")</f>
        <v>Ns</v>
      </c>
      <c r="M19" s="5" t="str">
        <f>IFERROR(__xludf.DUMMYFUNCTION("IF(T19&lt;&gt;"""", GOOGLETRANSLATE(T19, ""RO"", ""EN""), """")"),"No.")</f>
        <v>No.</v>
      </c>
      <c r="N19" s="5" t="str">
        <f>IFERROR(__xludf.DUMMYFUNCTION("IF(Y19&lt;&gt;"""", GOOGLETRANSLATE(Y19, ""RO"", ""EN""), """")"),"")</f>
        <v/>
      </c>
      <c r="P19" s="4" t="s">
        <v>137</v>
      </c>
      <c r="Q19" s="4" t="s">
        <v>138</v>
      </c>
      <c r="R19" s="4" t="s">
        <v>115</v>
      </c>
      <c r="S19" s="4" t="s">
        <v>103</v>
      </c>
      <c r="T19" s="4" t="s">
        <v>104</v>
      </c>
      <c r="U19" s="4" t="s">
        <v>139</v>
      </c>
      <c r="V19" s="4" t="s">
        <v>140</v>
      </c>
    </row>
    <row r="20">
      <c r="A20" s="4" t="s">
        <v>143</v>
      </c>
      <c r="B20" s="4" t="s">
        <v>144</v>
      </c>
      <c r="C20" s="4" t="str">
        <f>IFERROR(__xludf.DUMMYFUNCTION("GOOGLETRANSLATE(B20, ""RO"", ""EN"")"),"Compared to 2004, currently your economic situation ... is it better, worse or the same?")</f>
        <v>Compared to 2004, currently your economic situation ... is it better, worse or the same?</v>
      </c>
      <c r="D20" s="5" t="str">
        <f>IFERROR(__xludf.DUMMYFUNCTION("IF(O20&lt;&gt;"""", GOOGLETRANSLATE(O20, ""RO"", ""EN""), """")"),"")</f>
        <v/>
      </c>
      <c r="E20" s="6" t="str">
        <f>IFERROR(__xludf.DUMMYFUNCTION("IF(P20&lt;&gt;"""", GOOGLETRANSLATE(P20, ""RO"", ""EN""), """")"),"Much better / good")</f>
        <v>Much better / good</v>
      </c>
      <c r="F20" s="5" t="str">
        <f>IFERROR(__xludf.DUMMYFUNCTION("IF(Q20&lt;&gt;"""", GOOGLETRANSLATE(Q20, ""RO"", ""EN""), """")"),"Better/ good")</f>
        <v>Better/ good</v>
      </c>
      <c r="G20" s="5" t="str">
        <f>IFERROR(__xludf.DUMMYFUNCTION("IF(R20&lt;&gt;"""", GOOGLETRANSLATE(R20, ""RO"", ""EN""), """")"),"About the same")</f>
        <v>About the same</v>
      </c>
      <c r="H20" s="5" t="str">
        <f>IFERROR(__xludf.DUMMYFUNCTION("IF(U20&lt;&gt;"""", GOOGLETRANSLATE(U20, ""RO"", ""EN""), """")"),"Worse / rea")</f>
        <v>Worse / rea</v>
      </c>
      <c r="I20" s="5" t="str">
        <f>IFERROR(__xludf.DUMMYFUNCTION("IF(V20&lt;&gt;"""", GOOGLETRANSLATE(V20, ""RO"", ""EN""), """")"),"Much worse / bad")</f>
        <v>Much worse / bad</v>
      </c>
      <c r="J20" s="5" t="str">
        <f>IFERROR(__xludf.DUMMYFUNCTION("IF(W20&lt;&gt;"""", GOOGLETRANSLATE(W20, ""RO"", ""EN""), """")"),"")</f>
        <v/>
      </c>
      <c r="K20" s="5" t="str">
        <f>IFERROR(__xludf.DUMMYFUNCTION("IF(X20&lt;&gt;"""", GOOGLETRANSLATE(X20, ""RO"", ""EN""), """")"),"")</f>
        <v/>
      </c>
      <c r="L20" s="5" t="str">
        <f>IFERROR(__xludf.DUMMYFUNCTION("IF(S20&lt;&gt;"""", GOOGLETRANSLATE(S20, ""RO"", ""EN""), """")"),"Ns")</f>
        <v>Ns</v>
      </c>
      <c r="M20" s="5" t="str">
        <f>IFERROR(__xludf.DUMMYFUNCTION("IF(T20&lt;&gt;"""", GOOGLETRANSLATE(T20, ""RO"", ""EN""), """")"),"No.")</f>
        <v>No.</v>
      </c>
      <c r="N20" s="5" t="str">
        <f>IFERROR(__xludf.DUMMYFUNCTION("IF(Y20&lt;&gt;"""", GOOGLETRANSLATE(Y20, ""RO"", ""EN""), """")"),"")</f>
        <v/>
      </c>
      <c r="P20" s="4" t="s">
        <v>137</v>
      </c>
      <c r="Q20" s="4" t="s">
        <v>138</v>
      </c>
      <c r="R20" s="4" t="s">
        <v>115</v>
      </c>
      <c r="S20" s="4" t="s">
        <v>103</v>
      </c>
      <c r="T20" s="4" t="s">
        <v>104</v>
      </c>
      <c r="U20" s="4" t="s">
        <v>139</v>
      </c>
      <c r="V20" s="4" t="s">
        <v>140</v>
      </c>
    </row>
    <row r="21" ht="15.75" customHeight="1">
      <c r="A21" s="4" t="s">
        <v>145</v>
      </c>
      <c r="B21" s="4" t="s">
        <v>146</v>
      </c>
      <c r="C21" s="4" t="str">
        <f>IFERROR(__xludf.DUMMYFUNCTION("GOOGLETRANSLATE(B21, ""RO"", ""EN"")"),"In the next 5 years, do you think that the economy of Romania ... will work better, worse or the same?")</f>
        <v>In the next 5 years, do you think that the economy of Romania ... will work better, worse or the same?</v>
      </c>
      <c r="D21" s="5" t="str">
        <f>IFERROR(__xludf.DUMMYFUNCTION("IF(O21&lt;&gt;"""", GOOGLETRANSLATE(O21, ""RO"", ""EN""), """")"),"")</f>
        <v/>
      </c>
      <c r="E21" s="6" t="str">
        <f>IFERROR(__xludf.DUMMYFUNCTION("IF(P21&lt;&gt;"""", GOOGLETRANSLATE(P21, ""RO"", ""EN""), """")"),"Much better / good")</f>
        <v>Much better / good</v>
      </c>
      <c r="F21" s="5" t="str">
        <f>IFERROR(__xludf.DUMMYFUNCTION("IF(Q21&lt;&gt;"""", GOOGLETRANSLATE(Q21, ""RO"", ""EN""), """")"),"Better/ good")</f>
        <v>Better/ good</v>
      </c>
      <c r="G21" s="5" t="str">
        <f>IFERROR(__xludf.DUMMYFUNCTION("IF(R21&lt;&gt;"""", GOOGLETRANSLATE(R21, ""RO"", ""EN""), """")"),"About the same")</f>
        <v>About the same</v>
      </c>
      <c r="H21" s="5" t="str">
        <f>IFERROR(__xludf.DUMMYFUNCTION("IF(U21&lt;&gt;"""", GOOGLETRANSLATE(U21, ""RO"", ""EN""), """")"),"Worse / rea")</f>
        <v>Worse / rea</v>
      </c>
      <c r="I21" s="5" t="str">
        <f>IFERROR(__xludf.DUMMYFUNCTION("IF(V21&lt;&gt;"""", GOOGLETRANSLATE(V21, ""RO"", ""EN""), """")"),"Much worse / bad")</f>
        <v>Much worse / bad</v>
      </c>
      <c r="J21" s="5" t="str">
        <f>IFERROR(__xludf.DUMMYFUNCTION("IF(W21&lt;&gt;"""", GOOGLETRANSLATE(W21, ""RO"", ""EN""), """")"),"")</f>
        <v/>
      </c>
      <c r="K21" s="5" t="str">
        <f>IFERROR(__xludf.DUMMYFUNCTION("IF(X21&lt;&gt;"""", GOOGLETRANSLATE(X21, ""RO"", ""EN""), """")"),"")</f>
        <v/>
      </c>
      <c r="L21" s="5" t="str">
        <f>IFERROR(__xludf.DUMMYFUNCTION("IF(S21&lt;&gt;"""", GOOGLETRANSLATE(S21, ""RO"", ""EN""), """")"),"Ns")</f>
        <v>Ns</v>
      </c>
      <c r="M21" s="5" t="str">
        <f>IFERROR(__xludf.DUMMYFUNCTION("IF(T21&lt;&gt;"""", GOOGLETRANSLATE(T21, ""RO"", ""EN""), """")"),"No.")</f>
        <v>No.</v>
      </c>
      <c r="N21" s="5" t="str">
        <f>IFERROR(__xludf.DUMMYFUNCTION("IF(Y21&lt;&gt;"""", GOOGLETRANSLATE(Y21, ""RO"", ""EN""), """")"),"")</f>
        <v/>
      </c>
      <c r="P21" s="4" t="s">
        <v>137</v>
      </c>
      <c r="Q21" s="4" t="s">
        <v>138</v>
      </c>
      <c r="R21" s="4" t="s">
        <v>115</v>
      </c>
      <c r="S21" s="4" t="s">
        <v>103</v>
      </c>
      <c r="T21" s="4" t="s">
        <v>104</v>
      </c>
      <c r="U21" s="4" t="s">
        <v>139</v>
      </c>
      <c r="V21" s="4" t="s">
        <v>140</v>
      </c>
    </row>
    <row r="22" ht="15.75" customHeight="1">
      <c r="A22" s="4" t="s">
        <v>147</v>
      </c>
      <c r="B22" s="4" t="s">
        <v>148</v>
      </c>
      <c r="C22" s="4" t="str">
        <f>IFERROR(__xludf.DUMMYFUNCTION("GOOGLETRANSLATE(B22, ""RO"", ""EN"")"),"But the economy of your locality ...? (in the next 5 years)")</f>
        <v>But the economy of your locality ...? (in the next 5 years)</v>
      </c>
      <c r="D22" s="5" t="str">
        <f>IFERROR(__xludf.DUMMYFUNCTION("IF(O22&lt;&gt;"""", GOOGLETRANSLATE(O22, ""RO"", ""EN""), """")"),"")</f>
        <v/>
      </c>
      <c r="E22" s="6" t="str">
        <f>IFERROR(__xludf.DUMMYFUNCTION("IF(P22&lt;&gt;"""", GOOGLETRANSLATE(P22, ""RO"", ""EN""), """")"),"Much better / good")</f>
        <v>Much better / good</v>
      </c>
      <c r="F22" s="5" t="str">
        <f>IFERROR(__xludf.DUMMYFUNCTION("IF(Q22&lt;&gt;"""", GOOGLETRANSLATE(Q22, ""RO"", ""EN""), """")"),"Better/ good")</f>
        <v>Better/ good</v>
      </c>
      <c r="G22" s="5" t="str">
        <f>IFERROR(__xludf.DUMMYFUNCTION("IF(R22&lt;&gt;"""", GOOGLETRANSLATE(R22, ""RO"", ""EN""), """")"),"About the same")</f>
        <v>About the same</v>
      </c>
      <c r="H22" s="5" t="str">
        <f>IFERROR(__xludf.DUMMYFUNCTION("IF(U22&lt;&gt;"""", GOOGLETRANSLATE(U22, ""RO"", ""EN""), """")"),"Worse / rea")</f>
        <v>Worse / rea</v>
      </c>
      <c r="I22" s="5" t="str">
        <f>IFERROR(__xludf.DUMMYFUNCTION("IF(V22&lt;&gt;"""", GOOGLETRANSLATE(V22, ""RO"", ""EN""), """")"),"Much worse / bad")</f>
        <v>Much worse / bad</v>
      </c>
      <c r="J22" s="5" t="str">
        <f>IFERROR(__xludf.DUMMYFUNCTION("IF(W22&lt;&gt;"""", GOOGLETRANSLATE(W22, ""RO"", ""EN""), """")"),"")</f>
        <v/>
      </c>
      <c r="K22" s="5" t="str">
        <f>IFERROR(__xludf.DUMMYFUNCTION("IF(X22&lt;&gt;"""", GOOGLETRANSLATE(X22, ""RO"", ""EN""), """")"),"")</f>
        <v/>
      </c>
      <c r="L22" s="5" t="str">
        <f>IFERROR(__xludf.DUMMYFUNCTION("IF(S22&lt;&gt;"""", GOOGLETRANSLATE(S22, ""RO"", ""EN""), """")"),"Ns")</f>
        <v>Ns</v>
      </c>
      <c r="M22" s="5" t="str">
        <f>IFERROR(__xludf.DUMMYFUNCTION("IF(T22&lt;&gt;"""", GOOGLETRANSLATE(T22, ""RO"", ""EN""), """")"),"No.")</f>
        <v>No.</v>
      </c>
      <c r="N22" s="5" t="str">
        <f>IFERROR(__xludf.DUMMYFUNCTION("IF(Y22&lt;&gt;"""", GOOGLETRANSLATE(Y22, ""RO"", ""EN""), """")"),"")</f>
        <v/>
      </c>
      <c r="P22" s="4" t="s">
        <v>137</v>
      </c>
      <c r="Q22" s="4" t="s">
        <v>138</v>
      </c>
      <c r="R22" s="4" t="s">
        <v>115</v>
      </c>
      <c r="S22" s="4" t="s">
        <v>103</v>
      </c>
      <c r="T22" s="4" t="s">
        <v>104</v>
      </c>
      <c r="U22" s="4" t="s">
        <v>139</v>
      </c>
      <c r="V22" s="4" t="s">
        <v>140</v>
      </c>
    </row>
    <row r="23" ht="15.75" customHeight="1">
      <c r="A23" s="4" t="s">
        <v>149</v>
      </c>
      <c r="B23" s="4" t="s">
        <v>150</v>
      </c>
      <c r="C23" s="4" t="str">
        <f>IFERROR(__xludf.DUMMYFUNCTION("GOOGLETRANSLATE(B23, ""RO"", ""EN"")"),"In the next 5 years, do you think your economic situation ... will be better, worse or the same?")</f>
        <v>In the next 5 years, do you think your economic situation ... will be better, worse or the same?</v>
      </c>
      <c r="D23" s="5" t="str">
        <f>IFERROR(__xludf.DUMMYFUNCTION("IF(O23&lt;&gt;"""", GOOGLETRANSLATE(O23, ""RO"", ""EN""), """")"),"")</f>
        <v/>
      </c>
      <c r="E23" s="6" t="str">
        <f>IFERROR(__xludf.DUMMYFUNCTION("IF(P23&lt;&gt;"""", GOOGLETRANSLATE(P23, ""RO"", ""EN""), """")"),"Much better / good")</f>
        <v>Much better / good</v>
      </c>
      <c r="F23" s="5" t="str">
        <f>IFERROR(__xludf.DUMMYFUNCTION("IF(Q23&lt;&gt;"""", GOOGLETRANSLATE(Q23, ""RO"", ""EN""), """")"),"Better/ good")</f>
        <v>Better/ good</v>
      </c>
      <c r="G23" s="5" t="str">
        <f>IFERROR(__xludf.DUMMYFUNCTION("IF(R23&lt;&gt;"""", GOOGLETRANSLATE(R23, ""RO"", ""EN""), """")"),"About the same")</f>
        <v>About the same</v>
      </c>
      <c r="H23" s="5" t="str">
        <f>IFERROR(__xludf.DUMMYFUNCTION("IF(U23&lt;&gt;"""", GOOGLETRANSLATE(U23, ""RO"", ""EN""), """")"),"Worse / rea")</f>
        <v>Worse / rea</v>
      </c>
      <c r="I23" s="5" t="str">
        <f>IFERROR(__xludf.DUMMYFUNCTION("IF(V23&lt;&gt;"""", GOOGLETRANSLATE(V23, ""RO"", ""EN""), """")"),"Much worse / bad")</f>
        <v>Much worse / bad</v>
      </c>
      <c r="J23" s="5" t="str">
        <f>IFERROR(__xludf.DUMMYFUNCTION("IF(W23&lt;&gt;"""", GOOGLETRANSLATE(W23, ""RO"", ""EN""), """")"),"")</f>
        <v/>
      </c>
      <c r="K23" s="5" t="str">
        <f>IFERROR(__xludf.DUMMYFUNCTION("IF(X23&lt;&gt;"""", GOOGLETRANSLATE(X23, ""RO"", ""EN""), """")"),"")</f>
        <v/>
      </c>
      <c r="L23" s="5" t="str">
        <f>IFERROR(__xludf.DUMMYFUNCTION("IF(S23&lt;&gt;"""", GOOGLETRANSLATE(S23, ""RO"", ""EN""), """")"),"Ns")</f>
        <v>Ns</v>
      </c>
      <c r="M23" s="5" t="str">
        <f>IFERROR(__xludf.DUMMYFUNCTION("IF(T23&lt;&gt;"""", GOOGLETRANSLATE(T23, ""RO"", ""EN""), """")"),"No.")</f>
        <v>No.</v>
      </c>
      <c r="N23" s="5" t="str">
        <f>IFERROR(__xludf.DUMMYFUNCTION("IF(Y23&lt;&gt;"""", GOOGLETRANSLATE(Y23, ""RO"", ""EN""), """")"),"")</f>
        <v/>
      </c>
      <c r="P23" s="4" t="s">
        <v>137</v>
      </c>
      <c r="Q23" s="4" t="s">
        <v>138</v>
      </c>
      <c r="R23" s="4" t="s">
        <v>115</v>
      </c>
      <c r="S23" s="4" t="s">
        <v>103</v>
      </c>
      <c r="T23" s="4" t="s">
        <v>104</v>
      </c>
      <c r="U23" s="4" t="s">
        <v>139</v>
      </c>
      <c r="V23" s="4" t="s">
        <v>140</v>
      </c>
    </row>
    <row r="24" ht="15.75" customHeight="1">
      <c r="A24" s="4" t="s">
        <v>151</v>
      </c>
      <c r="B24" s="4" t="s">
        <v>152</v>
      </c>
      <c r="C24" s="4" t="str">
        <f>IFERROR(__xludf.DUMMYFUNCTION("GOOGLETRANSLATE(B24, ""RO"", ""EN"")"),"Compared to 2004, do you think that in Romania corruption is larger, smaller or has remained the same? (If bigger / small): is it much smaller / big or just smaller / large?")</f>
        <v>Compared to 2004, do you think that in Romania corruption is larger, smaller or has remained the same? (If bigger / small): is it much smaller / big or just smaller / large?</v>
      </c>
      <c r="D24" s="5" t="str">
        <f>IFERROR(__xludf.DUMMYFUNCTION("IF(O24&lt;&gt;"""", GOOGLETRANSLATE(O24, ""RO"", ""EN""), """")"),"")</f>
        <v/>
      </c>
      <c r="E24" s="6" t="str">
        <f>IFERROR(__xludf.DUMMYFUNCTION("IF(P24&lt;&gt;"""", GOOGLETRANSLATE(P24, ""RO"", ""EN""), """")"),"much bigger")</f>
        <v>much bigger</v>
      </c>
      <c r="F24" s="5" t="str">
        <f>IFERROR(__xludf.DUMMYFUNCTION("IF(Q24&lt;&gt;"""", GOOGLETRANSLATE(Q24, ""RO"", ""EN""), """")"),"bigger")</f>
        <v>bigger</v>
      </c>
      <c r="G24" s="5" t="str">
        <f>IFERROR(__xludf.DUMMYFUNCTION("IF(R24&lt;&gt;"""", GOOGLETRANSLATE(R24, ""RO"", ""EN""), """")"),"stayed about the same")</f>
        <v>stayed about the same</v>
      </c>
      <c r="H24" s="5" t="str">
        <f>IFERROR(__xludf.DUMMYFUNCTION("IF(U24&lt;&gt;"""", GOOGLETRANSLATE(U24, ""RO"", ""EN""), """")"),"smaller")</f>
        <v>smaller</v>
      </c>
      <c r="I24" s="5" t="str">
        <f>IFERROR(__xludf.DUMMYFUNCTION("IF(V24&lt;&gt;"""", GOOGLETRANSLATE(V24, ""RO"", ""EN""), """")"),"much smaller")</f>
        <v>much smaller</v>
      </c>
      <c r="J24" s="5" t="str">
        <f>IFERROR(__xludf.DUMMYFUNCTION("IF(W24&lt;&gt;"""", GOOGLETRANSLATE(W24, ""RO"", ""EN""), """")"),"")</f>
        <v/>
      </c>
      <c r="K24" s="5" t="str">
        <f>IFERROR(__xludf.DUMMYFUNCTION("IF(X24&lt;&gt;"""", GOOGLETRANSLATE(X24, ""RO"", ""EN""), """")"),"")</f>
        <v/>
      </c>
      <c r="L24" s="5" t="str">
        <f>IFERROR(__xludf.DUMMYFUNCTION("IF(S24&lt;&gt;"""", GOOGLETRANSLATE(S24, ""RO"", ""EN""), """")"),"Ns")</f>
        <v>Ns</v>
      </c>
      <c r="M24" s="5" t="str">
        <f>IFERROR(__xludf.DUMMYFUNCTION("IF(T24&lt;&gt;"""", GOOGLETRANSLATE(T24, ""RO"", ""EN""), """")"),"No.")</f>
        <v>No.</v>
      </c>
      <c r="N24" s="5" t="str">
        <f>IFERROR(__xludf.DUMMYFUNCTION("IF(Y24&lt;&gt;"""", GOOGLETRANSLATE(Y24, ""RO"", ""EN""), """")"),"")</f>
        <v/>
      </c>
      <c r="P24" s="4" t="s">
        <v>153</v>
      </c>
      <c r="Q24" s="4" t="s">
        <v>154</v>
      </c>
      <c r="R24" s="4" t="s">
        <v>155</v>
      </c>
      <c r="S24" s="4" t="s">
        <v>103</v>
      </c>
      <c r="T24" s="4" t="s">
        <v>104</v>
      </c>
      <c r="U24" s="4" t="s">
        <v>156</v>
      </c>
      <c r="V24" s="4" t="s">
        <v>157</v>
      </c>
    </row>
    <row r="25" ht="15.75" customHeight="1">
      <c r="A25" s="4" t="s">
        <v>158</v>
      </c>
      <c r="B25" s="4" t="s">
        <v>159</v>
      </c>
      <c r="C25" s="4" t="str">
        <f>IFERROR(__xludf.DUMMYFUNCTION("GOOGLETRANSLATE(B25, ""RO"", ""EN"")"),"In the next 5 years, do you think that in Romania corruption will grow, decrease or will remain the same? (If it will grow / decrease): Will it grow / decrease a lot or little?")</f>
        <v>In the next 5 years, do you think that in Romania corruption will grow, decrease or will remain the same? (If it will grow / decrease): Will it grow / decrease a lot or little?</v>
      </c>
      <c r="D25" s="5" t="str">
        <f>IFERROR(__xludf.DUMMYFUNCTION("IF(O25&lt;&gt;"""", GOOGLETRANSLATE(O25, ""RO"", ""EN""), """")"),"")</f>
        <v/>
      </c>
      <c r="E25" s="6" t="str">
        <f>IFERROR(__xludf.DUMMYFUNCTION("IF(P25&lt;&gt;"""", GOOGLETRANSLATE(P25, ""RO"", ""EN""), """")"),"it will drop a lot")</f>
        <v>it will drop a lot</v>
      </c>
      <c r="F25" s="5" t="str">
        <f>IFERROR(__xludf.DUMMYFUNCTION("IF(Q25&lt;&gt;"""", GOOGLETRANSLATE(Q25, ""RO"", ""EN""), """")"),"it will drop a little")</f>
        <v>it will drop a little</v>
      </c>
      <c r="G25" s="5" t="str">
        <f>IFERROR(__xludf.DUMMYFUNCTION("IF(R25&lt;&gt;"""", GOOGLETRANSLATE(R25, ""RO"", ""EN""), """")"),"will remain about the same")</f>
        <v>will remain about the same</v>
      </c>
      <c r="H25" s="5" t="str">
        <f>IFERROR(__xludf.DUMMYFUNCTION("IF(U25&lt;&gt;"""", GOOGLETRANSLATE(U25, ""RO"", ""EN""), """")"),"It will grow a little")</f>
        <v>It will grow a little</v>
      </c>
      <c r="I25" s="5" t="str">
        <f>IFERROR(__xludf.DUMMYFUNCTION("IF(V25&lt;&gt;"""", GOOGLETRANSLATE(V25, ""RO"", ""EN""), """")"),"will grow a lot")</f>
        <v>will grow a lot</v>
      </c>
      <c r="J25" s="5" t="str">
        <f>IFERROR(__xludf.DUMMYFUNCTION("IF(W25&lt;&gt;"""", GOOGLETRANSLATE(W25, ""RO"", ""EN""), """")"),"")</f>
        <v/>
      </c>
      <c r="K25" s="5" t="str">
        <f>IFERROR(__xludf.DUMMYFUNCTION("IF(X25&lt;&gt;"""", GOOGLETRANSLATE(X25, ""RO"", ""EN""), """")"),"")</f>
        <v/>
      </c>
      <c r="L25" s="5" t="str">
        <f>IFERROR(__xludf.DUMMYFUNCTION("IF(S25&lt;&gt;"""", GOOGLETRANSLATE(S25, ""RO"", ""EN""), """")"),"Ns")</f>
        <v>Ns</v>
      </c>
      <c r="M25" s="5" t="str">
        <f>IFERROR(__xludf.DUMMYFUNCTION("IF(T25&lt;&gt;"""", GOOGLETRANSLATE(T25, ""RO"", ""EN""), """")"),"No.")</f>
        <v>No.</v>
      </c>
      <c r="N25" s="5" t="str">
        <f>IFERROR(__xludf.DUMMYFUNCTION("IF(Y25&lt;&gt;"""", GOOGLETRANSLATE(Y25, ""RO"", ""EN""), """")"),"")</f>
        <v/>
      </c>
      <c r="P25" s="4" t="s">
        <v>160</v>
      </c>
      <c r="Q25" s="4" t="s">
        <v>161</v>
      </c>
      <c r="R25" s="4" t="s">
        <v>162</v>
      </c>
      <c r="S25" s="4" t="s">
        <v>103</v>
      </c>
      <c r="T25" s="4" t="s">
        <v>104</v>
      </c>
      <c r="U25" s="4" t="s">
        <v>163</v>
      </c>
      <c r="V25" s="4" t="s">
        <v>164</v>
      </c>
    </row>
    <row r="26" ht="15.75" customHeight="1">
      <c r="A26" s="4" t="s">
        <v>165</v>
      </c>
      <c r="B26" s="4" t="s">
        <v>166</v>
      </c>
      <c r="C26" s="4" t="str">
        <f>IFERROR(__xludf.DUMMYFUNCTION("GOOGLETRANSLATE(B26, ""RO"", ""EN"")"),"On a scale from 0 to 10, where 0 means very unhappy and 10 very pleased how dissatisfied or satisfied are you ...? Your life in general")</f>
        <v>On a scale from 0 to 10, where 0 means very unhappy and 10 very pleased how dissatisfied or satisfied are you ...? Your life in general</v>
      </c>
      <c r="D26" s="5" t="str">
        <f>IFERROR(__xludf.DUMMYFUNCTION("IF(O26&lt;&gt;"""", GOOGLETRANSLATE(O26, ""RO"", ""EN""), """")"),"Very dissatisfied")</f>
        <v>Very dissatisfied</v>
      </c>
      <c r="E26" s="6" t="str">
        <f>IFERROR(__xludf.DUMMYFUNCTION("IF(P26&lt;&gt;"""", GOOGLETRANSLATE(P26, ""RO"", ""EN""), """")"),"1")</f>
        <v>1</v>
      </c>
      <c r="F26" s="5" t="str">
        <f>IFERROR(__xludf.DUMMYFUNCTION("IF(Q26&lt;&gt;"""", GOOGLETRANSLATE(Q26, ""RO"", ""EN""), """")"),"2")</f>
        <v>2</v>
      </c>
      <c r="G26" s="5" t="str">
        <f>IFERROR(__xludf.DUMMYFUNCTION("IF(R26&lt;&gt;"""", GOOGLETRANSLATE(R26, ""RO"", ""EN""), """")"),"3")</f>
        <v>3</v>
      </c>
      <c r="H26" s="5" t="str">
        <f>IFERROR(__xludf.DUMMYFUNCTION("IF(U26&lt;&gt;"""", GOOGLETRANSLATE(U26, ""RO"", ""EN""), """")"),"4")</f>
        <v>4</v>
      </c>
      <c r="I26" s="5" t="str">
        <f>IFERROR(__xludf.DUMMYFUNCTION("IF(V26&lt;&gt;"""", GOOGLETRANSLATE(V26, ""RO"", ""EN""), """")"),"5")</f>
        <v>5</v>
      </c>
      <c r="J26" s="5" t="str">
        <f>IFERROR(__xludf.DUMMYFUNCTION("IF(W26&lt;&gt;"""", GOOGLETRANSLATE(W26, ""RO"", ""EN""), """")"),"6")</f>
        <v>6</v>
      </c>
      <c r="K26" s="5" t="str">
        <f>IFERROR(__xludf.DUMMYFUNCTION("IF(X26&lt;&gt;"""", GOOGLETRANSLATE(X26, ""RO"", ""EN""), """")"),"7")</f>
        <v>7</v>
      </c>
      <c r="L26" s="5" t="str">
        <f>IFERROR(__xludf.DUMMYFUNCTION("IF(S26&lt;&gt;"""", GOOGLETRANSLATE(S26, ""RO"", ""EN""), """")"),"8")</f>
        <v>8</v>
      </c>
      <c r="M26" s="5" t="str">
        <f>IFERROR(__xludf.DUMMYFUNCTION("IF(T26&lt;&gt;"""", GOOGLETRANSLATE(T26, ""RO"", ""EN""), """")"),"9")</f>
        <v>9</v>
      </c>
      <c r="N26" s="5" t="str">
        <f>IFERROR(__xludf.DUMMYFUNCTION("IF(Y26&lt;&gt;"""", GOOGLETRANSLATE(Y26, ""RO"", ""EN""), """")"),"Very pleased")</f>
        <v>Very pleased</v>
      </c>
      <c r="O26" s="4" t="s">
        <v>167</v>
      </c>
      <c r="P26" s="4" t="s">
        <v>168</v>
      </c>
      <c r="Q26" s="4" t="s">
        <v>169</v>
      </c>
      <c r="R26" s="4" t="s">
        <v>170</v>
      </c>
      <c r="S26" s="4" t="s">
        <v>171</v>
      </c>
      <c r="T26" s="4" t="s">
        <v>172</v>
      </c>
      <c r="U26" s="4" t="s">
        <v>173</v>
      </c>
      <c r="V26" s="4" t="s">
        <v>174</v>
      </c>
      <c r="W26" s="4" t="s">
        <v>175</v>
      </c>
      <c r="X26" s="4" t="s">
        <v>176</v>
      </c>
      <c r="Y26" s="4" t="s">
        <v>110</v>
      </c>
      <c r="Z26" s="4" t="s">
        <v>177</v>
      </c>
      <c r="AA26" s="4" t="s">
        <v>103</v>
      </c>
      <c r="AB26" s="4" t="s">
        <v>104</v>
      </c>
    </row>
    <row r="27" ht="15.75" customHeight="1">
      <c r="A27" s="4" t="s">
        <v>178</v>
      </c>
      <c r="B27" s="4" t="s">
        <v>179</v>
      </c>
      <c r="C27" s="4" t="str">
        <f>IFERROR(__xludf.DUMMYFUNCTION("GOOGLETRANSLATE(B27, ""RO"", ""EN"")"),"Your education")</f>
        <v>Your education</v>
      </c>
      <c r="D27" s="5" t="str">
        <f>IFERROR(__xludf.DUMMYFUNCTION("IF(O27&lt;&gt;"""", GOOGLETRANSLATE(O27, ""RO"", ""EN""), """")"),"Very dissatisfied")</f>
        <v>Very dissatisfied</v>
      </c>
      <c r="E27" s="6" t="str">
        <f>IFERROR(__xludf.DUMMYFUNCTION("IF(P27&lt;&gt;"""", GOOGLETRANSLATE(P27, ""RO"", ""EN""), """")"),"1")</f>
        <v>1</v>
      </c>
      <c r="F27" s="5" t="str">
        <f>IFERROR(__xludf.DUMMYFUNCTION("IF(Q27&lt;&gt;"""", GOOGLETRANSLATE(Q27, ""RO"", ""EN""), """")"),"2")</f>
        <v>2</v>
      </c>
      <c r="G27" s="5" t="str">
        <f>IFERROR(__xludf.DUMMYFUNCTION("IF(R27&lt;&gt;"""", GOOGLETRANSLATE(R27, ""RO"", ""EN""), """")"),"3")</f>
        <v>3</v>
      </c>
      <c r="H27" s="5" t="str">
        <f>IFERROR(__xludf.DUMMYFUNCTION("IF(U27&lt;&gt;"""", GOOGLETRANSLATE(U27, ""RO"", ""EN""), """")"),"4")</f>
        <v>4</v>
      </c>
      <c r="I27" s="5" t="str">
        <f>IFERROR(__xludf.DUMMYFUNCTION("IF(V27&lt;&gt;"""", GOOGLETRANSLATE(V27, ""RO"", ""EN""), """")"),"5")</f>
        <v>5</v>
      </c>
      <c r="J27" s="5" t="str">
        <f>IFERROR(__xludf.DUMMYFUNCTION("IF(W27&lt;&gt;"""", GOOGLETRANSLATE(W27, ""RO"", ""EN""), """")"),"6")</f>
        <v>6</v>
      </c>
      <c r="K27" s="5" t="str">
        <f>IFERROR(__xludf.DUMMYFUNCTION("IF(X27&lt;&gt;"""", GOOGLETRANSLATE(X27, ""RO"", ""EN""), """")"),"7")</f>
        <v>7</v>
      </c>
      <c r="L27" s="5" t="str">
        <f>IFERROR(__xludf.DUMMYFUNCTION("IF(S27&lt;&gt;"""", GOOGLETRANSLATE(S27, ""RO"", ""EN""), """")"),"8")</f>
        <v>8</v>
      </c>
      <c r="M27" s="5" t="str">
        <f>IFERROR(__xludf.DUMMYFUNCTION("IF(T27&lt;&gt;"""", GOOGLETRANSLATE(T27, ""RO"", ""EN""), """")"),"9")</f>
        <v>9</v>
      </c>
      <c r="N27" s="5" t="str">
        <f>IFERROR(__xludf.DUMMYFUNCTION("IF(Y27&lt;&gt;"""", GOOGLETRANSLATE(Y27, ""RO"", ""EN""), """")"),"Very pleased")</f>
        <v>Very pleased</v>
      </c>
      <c r="O27" s="4" t="s">
        <v>167</v>
      </c>
      <c r="P27" s="4" t="s">
        <v>168</v>
      </c>
      <c r="Q27" s="4" t="s">
        <v>169</v>
      </c>
      <c r="R27" s="4" t="s">
        <v>170</v>
      </c>
      <c r="S27" s="4" t="s">
        <v>171</v>
      </c>
      <c r="T27" s="4" t="s">
        <v>172</v>
      </c>
      <c r="U27" s="4" t="s">
        <v>173</v>
      </c>
      <c r="V27" s="4" t="s">
        <v>174</v>
      </c>
      <c r="W27" s="4" t="s">
        <v>175</v>
      </c>
      <c r="X27" s="4" t="s">
        <v>176</v>
      </c>
      <c r="Y27" s="4" t="s">
        <v>110</v>
      </c>
      <c r="Z27" s="4" t="s">
        <v>177</v>
      </c>
      <c r="AA27" s="4" t="s">
        <v>103</v>
      </c>
      <c r="AB27" s="4" t="s">
        <v>104</v>
      </c>
    </row>
    <row r="28" ht="15.75" customHeight="1">
      <c r="A28" s="4" t="s">
        <v>180</v>
      </c>
      <c r="B28" s="4" t="s">
        <v>181</v>
      </c>
      <c r="C28" s="4" t="str">
        <f>IFERROR(__xludf.DUMMYFUNCTION("GOOGLETRANSLATE(B28, ""RO"", ""EN"")"),"Your job")</f>
        <v>Your job</v>
      </c>
      <c r="D28" s="5" t="str">
        <f>IFERROR(__xludf.DUMMYFUNCTION("IF(O28&lt;&gt;"""", GOOGLETRANSLATE(O28, ""RO"", ""EN""), """")"),"Very dissatisfied")</f>
        <v>Very dissatisfied</v>
      </c>
      <c r="E28" s="6" t="str">
        <f>IFERROR(__xludf.DUMMYFUNCTION("IF(P28&lt;&gt;"""", GOOGLETRANSLATE(P28, ""RO"", ""EN""), """")"),"1")</f>
        <v>1</v>
      </c>
      <c r="F28" s="5" t="str">
        <f>IFERROR(__xludf.DUMMYFUNCTION("IF(Q28&lt;&gt;"""", GOOGLETRANSLATE(Q28, ""RO"", ""EN""), """")"),"2")</f>
        <v>2</v>
      </c>
      <c r="G28" s="5" t="str">
        <f>IFERROR(__xludf.DUMMYFUNCTION("IF(R28&lt;&gt;"""", GOOGLETRANSLATE(R28, ""RO"", ""EN""), """")"),"3")</f>
        <v>3</v>
      </c>
      <c r="H28" s="5" t="str">
        <f>IFERROR(__xludf.DUMMYFUNCTION("IF(U28&lt;&gt;"""", GOOGLETRANSLATE(U28, ""RO"", ""EN""), """")"),"4")</f>
        <v>4</v>
      </c>
      <c r="I28" s="5" t="str">
        <f>IFERROR(__xludf.DUMMYFUNCTION("IF(V28&lt;&gt;"""", GOOGLETRANSLATE(V28, ""RO"", ""EN""), """")"),"5")</f>
        <v>5</v>
      </c>
      <c r="J28" s="5" t="str">
        <f>IFERROR(__xludf.DUMMYFUNCTION("IF(W28&lt;&gt;"""", GOOGLETRANSLATE(W28, ""RO"", ""EN""), """")"),"6")</f>
        <v>6</v>
      </c>
      <c r="K28" s="5" t="str">
        <f>IFERROR(__xludf.DUMMYFUNCTION("IF(X28&lt;&gt;"""", GOOGLETRANSLATE(X28, ""RO"", ""EN""), """")"),"7")</f>
        <v>7</v>
      </c>
      <c r="L28" s="5" t="str">
        <f>IFERROR(__xludf.DUMMYFUNCTION("IF(S28&lt;&gt;"""", GOOGLETRANSLATE(S28, ""RO"", ""EN""), """")"),"8")</f>
        <v>8</v>
      </c>
      <c r="M28" s="5" t="str">
        <f>IFERROR(__xludf.DUMMYFUNCTION("IF(T28&lt;&gt;"""", GOOGLETRANSLATE(T28, ""RO"", ""EN""), """")"),"9")</f>
        <v>9</v>
      </c>
      <c r="N28" s="5" t="str">
        <f>IFERROR(__xludf.DUMMYFUNCTION("IF(Y28&lt;&gt;"""", GOOGLETRANSLATE(Y28, ""RO"", ""EN""), """")"),"Very pleased")</f>
        <v>Very pleased</v>
      </c>
      <c r="O28" s="4" t="s">
        <v>167</v>
      </c>
      <c r="P28" s="4" t="s">
        <v>168</v>
      </c>
      <c r="Q28" s="4" t="s">
        <v>169</v>
      </c>
      <c r="R28" s="4" t="s">
        <v>170</v>
      </c>
      <c r="S28" s="4" t="s">
        <v>171</v>
      </c>
      <c r="T28" s="4" t="s">
        <v>172</v>
      </c>
      <c r="U28" s="4" t="s">
        <v>173</v>
      </c>
      <c r="V28" s="4" t="s">
        <v>174</v>
      </c>
      <c r="W28" s="4" t="s">
        <v>175</v>
      </c>
      <c r="X28" s="4" t="s">
        <v>176</v>
      </c>
      <c r="Y28" s="4" t="s">
        <v>110</v>
      </c>
      <c r="Z28" s="4" t="s">
        <v>177</v>
      </c>
      <c r="AA28" s="4" t="s">
        <v>103</v>
      </c>
      <c r="AB28" s="4" t="s">
        <v>104</v>
      </c>
    </row>
    <row r="29" ht="15.75" customHeight="1">
      <c r="A29" s="4" t="s">
        <v>182</v>
      </c>
      <c r="B29" s="4" t="s">
        <v>183</v>
      </c>
      <c r="C29" s="4" t="str">
        <f>IFERROR(__xludf.DUMMYFUNCTION("GOOGLETRANSLATE(B29, ""RO"", ""EN"")"),"Your living level")</f>
        <v>Your living level</v>
      </c>
      <c r="D29" s="5" t="str">
        <f>IFERROR(__xludf.DUMMYFUNCTION("IF(O29&lt;&gt;"""", GOOGLETRANSLATE(O29, ""RO"", ""EN""), """")"),"Very dissatisfied")</f>
        <v>Very dissatisfied</v>
      </c>
      <c r="E29" s="6" t="str">
        <f>IFERROR(__xludf.DUMMYFUNCTION("IF(P29&lt;&gt;"""", GOOGLETRANSLATE(P29, ""RO"", ""EN""), """")"),"1")</f>
        <v>1</v>
      </c>
      <c r="F29" s="5" t="str">
        <f>IFERROR(__xludf.DUMMYFUNCTION("IF(Q29&lt;&gt;"""", GOOGLETRANSLATE(Q29, ""RO"", ""EN""), """")"),"2")</f>
        <v>2</v>
      </c>
      <c r="G29" s="5" t="str">
        <f>IFERROR(__xludf.DUMMYFUNCTION("IF(R29&lt;&gt;"""", GOOGLETRANSLATE(R29, ""RO"", ""EN""), """")"),"3")</f>
        <v>3</v>
      </c>
      <c r="H29" s="5" t="str">
        <f>IFERROR(__xludf.DUMMYFUNCTION("IF(U29&lt;&gt;"""", GOOGLETRANSLATE(U29, ""RO"", ""EN""), """")"),"4")</f>
        <v>4</v>
      </c>
      <c r="I29" s="5" t="str">
        <f>IFERROR(__xludf.DUMMYFUNCTION("IF(V29&lt;&gt;"""", GOOGLETRANSLATE(V29, ""RO"", ""EN""), """")"),"5")</f>
        <v>5</v>
      </c>
      <c r="J29" s="5" t="str">
        <f>IFERROR(__xludf.DUMMYFUNCTION("IF(W29&lt;&gt;"""", GOOGLETRANSLATE(W29, ""RO"", ""EN""), """")"),"6")</f>
        <v>6</v>
      </c>
      <c r="K29" s="5" t="str">
        <f>IFERROR(__xludf.DUMMYFUNCTION("IF(X29&lt;&gt;"""", GOOGLETRANSLATE(X29, ""RO"", ""EN""), """")"),"7")</f>
        <v>7</v>
      </c>
      <c r="L29" s="5" t="str">
        <f>IFERROR(__xludf.DUMMYFUNCTION("IF(S29&lt;&gt;"""", GOOGLETRANSLATE(S29, ""RO"", ""EN""), """")"),"8")</f>
        <v>8</v>
      </c>
      <c r="M29" s="5" t="str">
        <f>IFERROR(__xludf.DUMMYFUNCTION("IF(T29&lt;&gt;"""", GOOGLETRANSLATE(T29, ""RO"", ""EN""), """")"),"9")</f>
        <v>9</v>
      </c>
      <c r="N29" s="5" t="str">
        <f>IFERROR(__xludf.DUMMYFUNCTION("IF(Y29&lt;&gt;"""", GOOGLETRANSLATE(Y29, ""RO"", ""EN""), """")"),"Very pleased")</f>
        <v>Very pleased</v>
      </c>
      <c r="O29" s="4" t="s">
        <v>167</v>
      </c>
      <c r="P29" s="4" t="s">
        <v>168</v>
      </c>
      <c r="Q29" s="4" t="s">
        <v>169</v>
      </c>
      <c r="R29" s="4" t="s">
        <v>170</v>
      </c>
      <c r="S29" s="4" t="s">
        <v>171</v>
      </c>
      <c r="T29" s="4" t="s">
        <v>172</v>
      </c>
      <c r="U29" s="4" t="s">
        <v>173</v>
      </c>
      <c r="V29" s="4" t="s">
        <v>174</v>
      </c>
      <c r="W29" s="4" t="s">
        <v>175</v>
      </c>
      <c r="X29" s="4" t="s">
        <v>176</v>
      </c>
      <c r="Y29" s="4" t="s">
        <v>110</v>
      </c>
      <c r="Z29" s="4" t="s">
        <v>177</v>
      </c>
      <c r="AA29" s="4" t="s">
        <v>103</v>
      </c>
      <c r="AB29" s="4" t="s">
        <v>104</v>
      </c>
    </row>
    <row r="30" ht="15.75" customHeight="1">
      <c r="A30" s="4" t="s">
        <v>184</v>
      </c>
      <c r="B30" s="4" t="s">
        <v>185</v>
      </c>
      <c r="C30" s="4" t="str">
        <f>IFERROR(__xludf.DUMMYFUNCTION("GOOGLETRANSLATE(B30, ""RO"", ""EN"")"),"living conditions")</f>
        <v>living conditions</v>
      </c>
      <c r="D30" s="5" t="str">
        <f>IFERROR(__xludf.DUMMYFUNCTION("IF(O30&lt;&gt;"""", GOOGLETRANSLATE(O30, ""RO"", ""EN""), """")"),"Very dissatisfied")</f>
        <v>Very dissatisfied</v>
      </c>
      <c r="E30" s="6" t="str">
        <f>IFERROR(__xludf.DUMMYFUNCTION("IF(P30&lt;&gt;"""", GOOGLETRANSLATE(P30, ""RO"", ""EN""), """")"),"1")</f>
        <v>1</v>
      </c>
      <c r="F30" s="5" t="str">
        <f>IFERROR(__xludf.DUMMYFUNCTION("IF(Q30&lt;&gt;"""", GOOGLETRANSLATE(Q30, ""RO"", ""EN""), """")"),"2")</f>
        <v>2</v>
      </c>
      <c r="G30" s="5" t="str">
        <f>IFERROR(__xludf.DUMMYFUNCTION("IF(R30&lt;&gt;"""", GOOGLETRANSLATE(R30, ""RO"", ""EN""), """")"),"3")</f>
        <v>3</v>
      </c>
      <c r="H30" s="5" t="str">
        <f>IFERROR(__xludf.DUMMYFUNCTION("IF(U30&lt;&gt;"""", GOOGLETRANSLATE(U30, ""RO"", ""EN""), """")"),"4")</f>
        <v>4</v>
      </c>
      <c r="I30" s="5" t="str">
        <f>IFERROR(__xludf.DUMMYFUNCTION("IF(V30&lt;&gt;"""", GOOGLETRANSLATE(V30, ""RO"", ""EN""), """")"),"5")</f>
        <v>5</v>
      </c>
      <c r="J30" s="5" t="str">
        <f>IFERROR(__xludf.DUMMYFUNCTION("IF(W30&lt;&gt;"""", GOOGLETRANSLATE(W30, ""RO"", ""EN""), """")"),"6")</f>
        <v>6</v>
      </c>
      <c r="K30" s="5" t="str">
        <f>IFERROR(__xludf.DUMMYFUNCTION("IF(X30&lt;&gt;"""", GOOGLETRANSLATE(X30, ""RO"", ""EN""), """")"),"7")</f>
        <v>7</v>
      </c>
      <c r="L30" s="5" t="str">
        <f>IFERROR(__xludf.DUMMYFUNCTION("IF(S30&lt;&gt;"""", GOOGLETRANSLATE(S30, ""RO"", ""EN""), """")"),"8")</f>
        <v>8</v>
      </c>
      <c r="M30" s="5" t="str">
        <f>IFERROR(__xludf.DUMMYFUNCTION("IF(T30&lt;&gt;"""", GOOGLETRANSLATE(T30, ""RO"", ""EN""), """")"),"9")</f>
        <v>9</v>
      </c>
      <c r="N30" s="5" t="str">
        <f>IFERROR(__xludf.DUMMYFUNCTION("IF(Y30&lt;&gt;"""", GOOGLETRANSLATE(Y30, ""RO"", ""EN""), """")"),"Very pleased")</f>
        <v>Very pleased</v>
      </c>
      <c r="O30" s="4" t="s">
        <v>167</v>
      </c>
      <c r="P30" s="4" t="s">
        <v>168</v>
      </c>
      <c r="Q30" s="4" t="s">
        <v>169</v>
      </c>
      <c r="R30" s="4" t="s">
        <v>170</v>
      </c>
      <c r="S30" s="4" t="s">
        <v>171</v>
      </c>
      <c r="T30" s="4" t="s">
        <v>172</v>
      </c>
      <c r="U30" s="4" t="s">
        <v>173</v>
      </c>
      <c r="V30" s="4" t="s">
        <v>174</v>
      </c>
      <c r="W30" s="4" t="s">
        <v>175</v>
      </c>
      <c r="X30" s="4" t="s">
        <v>176</v>
      </c>
      <c r="Y30" s="4" t="s">
        <v>110</v>
      </c>
      <c r="Z30" s="4" t="s">
        <v>177</v>
      </c>
      <c r="AA30" s="4" t="s">
        <v>103</v>
      </c>
      <c r="AB30" s="4" t="s">
        <v>104</v>
      </c>
    </row>
    <row r="31" ht="15.75" customHeight="1">
      <c r="A31" s="4" t="s">
        <v>186</v>
      </c>
      <c r="B31" s="4" t="s">
        <v>187</v>
      </c>
      <c r="C31" s="4" t="str">
        <f>IFERROR(__xludf.DUMMYFUNCTION("GOOGLETRANSLATE(B31, ""RO"", ""EN"")"),"familly life")</f>
        <v>familly life</v>
      </c>
      <c r="D31" s="5" t="str">
        <f>IFERROR(__xludf.DUMMYFUNCTION("IF(O31&lt;&gt;"""", GOOGLETRANSLATE(O31, ""RO"", ""EN""), """")"),"Very dissatisfied")</f>
        <v>Very dissatisfied</v>
      </c>
      <c r="E31" s="6" t="str">
        <f>IFERROR(__xludf.DUMMYFUNCTION("IF(P31&lt;&gt;"""", GOOGLETRANSLATE(P31, ""RO"", ""EN""), """")"),"1")</f>
        <v>1</v>
      </c>
      <c r="F31" s="5" t="str">
        <f>IFERROR(__xludf.DUMMYFUNCTION("IF(Q31&lt;&gt;"""", GOOGLETRANSLATE(Q31, ""RO"", ""EN""), """")"),"2")</f>
        <v>2</v>
      </c>
      <c r="G31" s="5" t="str">
        <f>IFERROR(__xludf.DUMMYFUNCTION("IF(R31&lt;&gt;"""", GOOGLETRANSLATE(R31, ""RO"", ""EN""), """")"),"3")</f>
        <v>3</v>
      </c>
      <c r="H31" s="5" t="str">
        <f>IFERROR(__xludf.DUMMYFUNCTION("IF(U31&lt;&gt;"""", GOOGLETRANSLATE(U31, ""RO"", ""EN""), """")"),"4")</f>
        <v>4</v>
      </c>
      <c r="I31" s="5" t="str">
        <f>IFERROR(__xludf.DUMMYFUNCTION("IF(V31&lt;&gt;"""", GOOGLETRANSLATE(V31, ""RO"", ""EN""), """")"),"5")</f>
        <v>5</v>
      </c>
      <c r="J31" s="5" t="str">
        <f>IFERROR(__xludf.DUMMYFUNCTION("IF(W31&lt;&gt;"""", GOOGLETRANSLATE(W31, ""RO"", ""EN""), """")"),"6")</f>
        <v>6</v>
      </c>
      <c r="K31" s="5" t="str">
        <f>IFERROR(__xludf.DUMMYFUNCTION("IF(X31&lt;&gt;"""", GOOGLETRANSLATE(X31, ""RO"", ""EN""), """")"),"7")</f>
        <v>7</v>
      </c>
      <c r="L31" s="5" t="str">
        <f>IFERROR(__xludf.DUMMYFUNCTION("IF(S31&lt;&gt;"""", GOOGLETRANSLATE(S31, ""RO"", ""EN""), """")"),"8")</f>
        <v>8</v>
      </c>
      <c r="M31" s="5" t="str">
        <f>IFERROR(__xludf.DUMMYFUNCTION("IF(T31&lt;&gt;"""", GOOGLETRANSLATE(T31, ""RO"", ""EN""), """")"),"9")</f>
        <v>9</v>
      </c>
      <c r="N31" s="5" t="str">
        <f>IFERROR(__xludf.DUMMYFUNCTION("IF(Y31&lt;&gt;"""", GOOGLETRANSLATE(Y31, ""RO"", ""EN""), """")"),"Very pleased")</f>
        <v>Very pleased</v>
      </c>
      <c r="O31" s="4" t="s">
        <v>167</v>
      </c>
      <c r="P31" s="4" t="s">
        <v>168</v>
      </c>
      <c r="Q31" s="4" t="s">
        <v>169</v>
      </c>
      <c r="R31" s="4" t="s">
        <v>170</v>
      </c>
      <c r="S31" s="4" t="s">
        <v>171</v>
      </c>
      <c r="T31" s="4" t="s">
        <v>172</v>
      </c>
      <c r="U31" s="4" t="s">
        <v>173</v>
      </c>
      <c r="V31" s="4" t="s">
        <v>174</v>
      </c>
      <c r="W31" s="4" t="s">
        <v>175</v>
      </c>
      <c r="X31" s="4" t="s">
        <v>176</v>
      </c>
      <c r="Y31" s="4" t="s">
        <v>110</v>
      </c>
      <c r="Z31" s="4" t="s">
        <v>177</v>
      </c>
      <c r="AA31" s="4" t="s">
        <v>103</v>
      </c>
      <c r="AB31" s="4" t="s">
        <v>104</v>
      </c>
    </row>
    <row r="32" ht="15.75" customHeight="1">
      <c r="A32" s="4" t="s">
        <v>188</v>
      </c>
      <c r="B32" s="4" t="s">
        <v>189</v>
      </c>
      <c r="C32" s="4" t="str">
        <f>IFERROR(__xludf.DUMMYFUNCTION("GOOGLETRANSLATE(B32, ""RO"", ""EN"")"),"your health")</f>
        <v>your health</v>
      </c>
      <c r="D32" s="5" t="str">
        <f>IFERROR(__xludf.DUMMYFUNCTION("IF(O32&lt;&gt;"""", GOOGLETRANSLATE(O32, ""RO"", ""EN""), """")"),"Very dissatisfied")</f>
        <v>Very dissatisfied</v>
      </c>
      <c r="E32" s="6" t="str">
        <f>IFERROR(__xludf.DUMMYFUNCTION("IF(P32&lt;&gt;"""", GOOGLETRANSLATE(P32, ""RO"", ""EN""), """")"),"1")</f>
        <v>1</v>
      </c>
      <c r="F32" s="5" t="str">
        <f>IFERROR(__xludf.DUMMYFUNCTION("IF(Q32&lt;&gt;"""", GOOGLETRANSLATE(Q32, ""RO"", ""EN""), """")"),"2")</f>
        <v>2</v>
      </c>
      <c r="G32" s="5" t="str">
        <f>IFERROR(__xludf.DUMMYFUNCTION("IF(R32&lt;&gt;"""", GOOGLETRANSLATE(R32, ""RO"", ""EN""), """")"),"3")</f>
        <v>3</v>
      </c>
      <c r="H32" s="5" t="str">
        <f>IFERROR(__xludf.DUMMYFUNCTION("IF(U32&lt;&gt;"""", GOOGLETRANSLATE(U32, ""RO"", ""EN""), """")"),"4")</f>
        <v>4</v>
      </c>
      <c r="I32" s="5" t="str">
        <f>IFERROR(__xludf.DUMMYFUNCTION("IF(V32&lt;&gt;"""", GOOGLETRANSLATE(V32, ""RO"", ""EN""), """")"),"5")</f>
        <v>5</v>
      </c>
      <c r="J32" s="5" t="str">
        <f>IFERROR(__xludf.DUMMYFUNCTION("IF(W32&lt;&gt;"""", GOOGLETRANSLATE(W32, ""RO"", ""EN""), """")"),"6")</f>
        <v>6</v>
      </c>
      <c r="K32" s="5" t="str">
        <f>IFERROR(__xludf.DUMMYFUNCTION("IF(X32&lt;&gt;"""", GOOGLETRANSLATE(X32, ""RO"", ""EN""), """")"),"7")</f>
        <v>7</v>
      </c>
      <c r="L32" s="5" t="str">
        <f>IFERROR(__xludf.DUMMYFUNCTION("IF(S32&lt;&gt;"""", GOOGLETRANSLATE(S32, ""RO"", ""EN""), """")"),"8")</f>
        <v>8</v>
      </c>
      <c r="M32" s="5" t="str">
        <f>IFERROR(__xludf.DUMMYFUNCTION("IF(T32&lt;&gt;"""", GOOGLETRANSLATE(T32, ""RO"", ""EN""), """")"),"9")</f>
        <v>9</v>
      </c>
      <c r="N32" s="5" t="str">
        <f>IFERROR(__xludf.DUMMYFUNCTION("IF(Y32&lt;&gt;"""", GOOGLETRANSLATE(Y32, ""RO"", ""EN""), """")"),"Very pleased")</f>
        <v>Very pleased</v>
      </c>
      <c r="O32" s="4" t="s">
        <v>167</v>
      </c>
      <c r="P32" s="4" t="s">
        <v>168</v>
      </c>
      <c r="Q32" s="4" t="s">
        <v>169</v>
      </c>
      <c r="R32" s="4" t="s">
        <v>170</v>
      </c>
      <c r="S32" s="4" t="s">
        <v>171</v>
      </c>
      <c r="T32" s="4" t="s">
        <v>172</v>
      </c>
      <c r="U32" s="4" t="s">
        <v>173</v>
      </c>
      <c r="V32" s="4" t="s">
        <v>174</v>
      </c>
      <c r="W32" s="4" t="s">
        <v>175</v>
      </c>
      <c r="X32" s="4" t="s">
        <v>176</v>
      </c>
      <c r="Y32" s="4" t="s">
        <v>110</v>
      </c>
      <c r="Z32" s="4" t="s">
        <v>177</v>
      </c>
      <c r="AA32" s="4" t="s">
        <v>103</v>
      </c>
      <c r="AB32" s="4" t="s">
        <v>104</v>
      </c>
    </row>
    <row r="33" ht="15.75" customHeight="1">
      <c r="A33" s="4" t="s">
        <v>190</v>
      </c>
      <c r="B33" s="4" t="s">
        <v>191</v>
      </c>
      <c r="C33" s="4" t="str">
        <f>IFERROR(__xludf.DUMMYFUNCTION("GOOGLETRANSLATE(B33, ""RO"", ""EN"")"),"Your social life (how do you spend your free time)")</f>
        <v>Your social life (how do you spend your free time)</v>
      </c>
      <c r="D33" s="5" t="str">
        <f>IFERROR(__xludf.DUMMYFUNCTION("IF(O33&lt;&gt;"""", GOOGLETRANSLATE(O33, ""RO"", ""EN""), """")"),"Very dissatisfied")</f>
        <v>Very dissatisfied</v>
      </c>
      <c r="E33" s="6" t="str">
        <f>IFERROR(__xludf.DUMMYFUNCTION("IF(P33&lt;&gt;"""", GOOGLETRANSLATE(P33, ""RO"", ""EN""), """")"),"1")</f>
        <v>1</v>
      </c>
      <c r="F33" s="5" t="str">
        <f>IFERROR(__xludf.DUMMYFUNCTION("IF(Q33&lt;&gt;"""", GOOGLETRANSLATE(Q33, ""RO"", ""EN""), """")"),"2")</f>
        <v>2</v>
      </c>
      <c r="G33" s="5" t="str">
        <f>IFERROR(__xludf.DUMMYFUNCTION("IF(R33&lt;&gt;"""", GOOGLETRANSLATE(R33, ""RO"", ""EN""), """")"),"3")</f>
        <v>3</v>
      </c>
      <c r="H33" s="5" t="str">
        <f>IFERROR(__xludf.DUMMYFUNCTION("IF(U33&lt;&gt;"""", GOOGLETRANSLATE(U33, ""RO"", ""EN""), """")"),"4")</f>
        <v>4</v>
      </c>
      <c r="I33" s="5" t="str">
        <f>IFERROR(__xludf.DUMMYFUNCTION("IF(V33&lt;&gt;"""", GOOGLETRANSLATE(V33, ""RO"", ""EN""), """")"),"5")</f>
        <v>5</v>
      </c>
      <c r="J33" s="5" t="str">
        <f>IFERROR(__xludf.DUMMYFUNCTION("IF(W33&lt;&gt;"""", GOOGLETRANSLATE(W33, ""RO"", ""EN""), """")"),"6")</f>
        <v>6</v>
      </c>
      <c r="K33" s="5" t="str">
        <f>IFERROR(__xludf.DUMMYFUNCTION("IF(X33&lt;&gt;"""", GOOGLETRANSLATE(X33, ""RO"", ""EN""), """")"),"7")</f>
        <v>7</v>
      </c>
      <c r="L33" s="5" t="str">
        <f>IFERROR(__xludf.DUMMYFUNCTION("IF(S33&lt;&gt;"""", GOOGLETRANSLATE(S33, ""RO"", ""EN""), """")"),"8")</f>
        <v>8</v>
      </c>
      <c r="M33" s="5" t="str">
        <f>IFERROR(__xludf.DUMMYFUNCTION("IF(T33&lt;&gt;"""", GOOGLETRANSLATE(T33, ""RO"", ""EN""), """")"),"9")</f>
        <v>9</v>
      </c>
      <c r="N33" s="5" t="str">
        <f>IFERROR(__xludf.DUMMYFUNCTION("IF(Y33&lt;&gt;"""", GOOGLETRANSLATE(Y33, ""RO"", ""EN""), """")"),"Very pleased")</f>
        <v>Very pleased</v>
      </c>
      <c r="O33" s="4" t="s">
        <v>167</v>
      </c>
      <c r="P33" s="4" t="s">
        <v>168</v>
      </c>
      <c r="Q33" s="4" t="s">
        <v>169</v>
      </c>
      <c r="R33" s="4" t="s">
        <v>170</v>
      </c>
      <c r="S33" s="4" t="s">
        <v>171</v>
      </c>
      <c r="T33" s="4" t="s">
        <v>172</v>
      </c>
      <c r="U33" s="4" t="s">
        <v>173</v>
      </c>
      <c r="V33" s="4" t="s">
        <v>174</v>
      </c>
      <c r="W33" s="4" t="s">
        <v>175</v>
      </c>
      <c r="X33" s="4" t="s">
        <v>176</v>
      </c>
      <c r="Y33" s="4" t="s">
        <v>110</v>
      </c>
      <c r="Z33" s="4" t="s">
        <v>177</v>
      </c>
      <c r="AA33" s="4" t="s">
        <v>103</v>
      </c>
      <c r="AB33" s="4" t="s">
        <v>104</v>
      </c>
    </row>
    <row r="34" ht="15.75" customHeight="1">
      <c r="A34" s="4" t="s">
        <v>192</v>
      </c>
      <c r="B34" s="4" t="s">
        <v>193</v>
      </c>
      <c r="C34" s="4" t="str">
        <f>IFERROR(__xludf.DUMMYFUNCTION("GOOGLETRANSLATE(B34, ""RO"", ""EN"")"),"The political life in the country")</f>
        <v>The political life in the country</v>
      </c>
      <c r="D34" s="5" t="str">
        <f>IFERROR(__xludf.DUMMYFUNCTION("IF(O34&lt;&gt;"""", GOOGLETRANSLATE(O34, ""RO"", ""EN""), """")"),"Very dissatisfied")</f>
        <v>Very dissatisfied</v>
      </c>
      <c r="E34" s="6" t="str">
        <f>IFERROR(__xludf.DUMMYFUNCTION("IF(P34&lt;&gt;"""", GOOGLETRANSLATE(P34, ""RO"", ""EN""), """")"),"1")</f>
        <v>1</v>
      </c>
      <c r="F34" s="5" t="str">
        <f>IFERROR(__xludf.DUMMYFUNCTION("IF(Q34&lt;&gt;"""", GOOGLETRANSLATE(Q34, ""RO"", ""EN""), """")"),"2")</f>
        <v>2</v>
      </c>
      <c r="G34" s="5" t="str">
        <f>IFERROR(__xludf.DUMMYFUNCTION("IF(R34&lt;&gt;"""", GOOGLETRANSLATE(R34, ""RO"", ""EN""), """")"),"3")</f>
        <v>3</v>
      </c>
      <c r="H34" s="5" t="str">
        <f>IFERROR(__xludf.DUMMYFUNCTION("IF(U34&lt;&gt;"""", GOOGLETRANSLATE(U34, ""RO"", ""EN""), """")"),"4")</f>
        <v>4</v>
      </c>
      <c r="I34" s="5" t="str">
        <f>IFERROR(__xludf.DUMMYFUNCTION("IF(V34&lt;&gt;"""", GOOGLETRANSLATE(V34, ""RO"", ""EN""), """")"),"5")</f>
        <v>5</v>
      </c>
      <c r="J34" s="5" t="str">
        <f>IFERROR(__xludf.DUMMYFUNCTION("IF(W34&lt;&gt;"""", GOOGLETRANSLATE(W34, ""RO"", ""EN""), """")"),"6")</f>
        <v>6</v>
      </c>
      <c r="K34" s="5" t="str">
        <f>IFERROR(__xludf.DUMMYFUNCTION("IF(X34&lt;&gt;"""", GOOGLETRANSLATE(X34, ""RO"", ""EN""), """")"),"7")</f>
        <v>7</v>
      </c>
      <c r="L34" s="5" t="str">
        <f>IFERROR(__xludf.DUMMYFUNCTION("IF(S34&lt;&gt;"""", GOOGLETRANSLATE(S34, ""RO"", ""EN""), """")"),"8")</f>
        <v>8</v>
      </c>
      <c r="M34" s="5" t="str">
        <f>IFERROR(__xludf.DUMMYFUNCTION("IF(T34&lt;&gt;"""", GOOGLETRANSLATE(T34, ""RO"", ""EN""), """")"),"9")</f>
        <v>9</v>
      </c>
      <c r="N34" s="5" t="str">
        <f>IFERROR(__xludf.DUMMYFUNCTION("IF(Y34&lt;&gt;"""", GOOGLETRANSLATE(Y34, ""RO"", ""EN""), """")"),"Very pleased")</f>
        <v>Very pleased</v>
      </c>
      <c r="O34" s="4" t="s">
        <v>167</v>
      </c>
      <c r="P34" s="4" t="s">
        <v>168</v>
      </c>
      <c r="Q34" s="4" t="s">
        <v>169</v>
      </c>
      <c r="R34" s="4" t="s">
        <v>170</v>
      </c>
      <c r="S34" s="4" t="s">
        <v>171</v>
      </c>
      <c r="T34" s="4" t="s">
        <v>172</v>
      </c>
      <c r="U34" s="4" t="s">
        <v>173</v>
      </c>
      <c r="V34" s="4" t="s">
        <v>174</v>
      </c>
      <c r="W34" s="4" t="s">
        <v>175</v>
      </c>
      <c r="X34" s="4" t="s">
        <v>176</v>
      </c>
      <c r="Y34" s="4" t="s">
        <v>110</v>
      </c>
      <c r="Z34" s="4" t="s">
        <v>177</v>
      </c>
      <c r="AA34" s="4" t="s">
        <v>103</v>
      </c>
      <c r="AB34" s="4" t="s">
        <v>104</v>
      </c>
    </row>
    <row r="35" ht="15.75" customHeight="1">
      <c r="A35" s="4" t="s">
        <v>194</v>
      </c>
      <c r="B35" s="4" t="s">
        <v>195</v>
      </c>
      <c r="C35" s="4" t="str">
        <f>IFERROR(__xludf.DUMMYFUNCTION("GOOGLETRANSLATE(B35, ""RO"", ""EN"")"),"In general, how satisfied are you in the way democracy works in Romania?")</f>
        <v>In general, how satisfied are you in the way democracy works in Romania?</v>
      </c>
      <c r="D35" s="5" t="str">
        <f>IFERROR(__xludf.DUMMYFUNCTION("IF(O35&lt;&gt;"""", GOOGLETRANSLATE(O35, ""RO"", ""EN""), """")"),"Not satisfied")</f>
        <v>Not satisfied</v>
      </c>
      <c r="E35" s="6" t="str">
        <f>IFERROR(__xludf.DUMMYFUNCTION("IF(P35&lt;&gt;"""", GOOGLETRANSLATE(P35, ""RO"", ""EN""), """")"),"Not too pleased")</f>
        <v>Not too pleased</v>
      </c>
      <c r="F35" s="5" t="str">
        <f>IFERROR(__xludf.DUMMYFUNCTION("IF(Q35&lt;&gt;"""", GOOGLETRANSLATE(Q35, ""RO"", ""EN""), """")"),"Quite satisfied")</f>
        <v>Quite satisfied</v>
      </c>
      <c r="G35" s="5" t="str">
        <f>IFERROR(__xludf.DUMMYFUNCTION("IF(R35&lt;&gt;"""", GOOGLETRANSLATE(R35, ""RO"", ""EN""), """")"),"Very pleased")</f>
        <v>Very pleased</v>
      </c>
      <c r="H35" s="5" t="str">
        <f>IFERROR(__xludf.DUMMYFUNCTION("IF(U35&lt;&gt;"""", GOOGLETRANSLATE(U35, ""RO"", ""EN""), """")"),"")</f>
        <v/>
      </c>
      <c r="I35" s="5" t="str">
        <f>IFERROR(__xludf.DUMMYFUNCTION("IF(V35&lt;&gt;"""", GOOGLETRANSLATE(V35, ""RO"", ""EN""), """")"),"")</f>
        <v/>
      </c>
      <c r="J35" s="5" t="str">
        <f>IFERROR(__xludf.DUMMYFUNCTION("IF(W35&lt;&gt;"""", GOOGLETRANSLATE(W35, ""RO"", ""EN""), """")"),"")</f>
        <v/>
      </c>
      <c r="K35" s="5" t="str">
        <f>IFERROR(__xludf.DUMMYFUNCTION("IF(X35&lt;&gt;"""", GOOGLETRANSLATE(X35, ""RO"", ""EN""), """")"),"")</f>
        <v/>
      </c>
      <c r="L35" s="5" t="str">
        <f>IFERROR(__xludf.DUMMYFUNCTION("IF(S35&lt;&gt;"""", GOOGLETRANSLATE(S35, ""RO"", ""EN""), """")"),"Ns")</f>
        <v>Ns</v>
      </c>
      <c r="M35" s="5" t="str">
        <f>IFERROR(__xludf.DUMMYFUNCTION("IF(T35&lt;&gt;"""", GOOGLETRANSLATE(T35, ""RO"", ""EN""), """")"),"No.")</f>
        <v>No.</v>
      </c>
      <c r="N35" s="5" t="str">
        <f>IFERROR(__xludf.DUMMYFUNCTION("IF(Y35&lt;&gt;"""", GOOGLETRANSLATE(Y35, ""RO"", ""EN""), """")"),"")</f>
        <v/>
      </c>
      <c r="O35" s="4" t="s">
        <v>107</v>
      </c>
      <c r="P35" s="4" t="s">
        <v>108</v>
      </c>
      <c r="Q35" s="4" t="s">
        <v>109</v>
      </c>
      <c r="R35" s="4" t="s">
        <v>110</v>
      </c>
      <c r="S35" s="4" t="s">
        <v>103</v>
      </c>
      <c r="T35" s="4" t="s">
        <v>104</v>
      </c>
    </row>
    <row r="36" ht="15.75" customHeight="1">
      <c r="A36" s="4" t="s">
        <v>196</v>
      </c>
      <c r="B36" s="4" t="s">
        <v>197</v>
      </c>
      <c r="C36" s="4" t="str">
        <f>IFERROR(__xludf.DUMMYFUNCTION("GOOGLETRANSLATE(B36, ""RO"", ""EN"")"),"Do you know what event takes place in Romania this month on 22, that is this Sunday / not this Sunday, the other?")</f>
        <v>Do you know what event takes place in Romania this month on 22, that is this Sunday / not this Sunday, the other?</v>
      </c>
      <c r="D36" s="5" t="str">
        <f>IFERROR(__xludf.DUMMYFUNCTION("IF(O36&lt;&gt;"""", GOOGLETRANSLATE(O36, ""RO"", ""EN""), """")"),"")</f>
        <v/>
      </c>
      <c r="E36" s="6" t="str">
        <f>IFERROR(__xludf.DUMMYFUNCTION("IF(P36&lt;&gt;"""", GOOGLETRANSLATE(P36, ""RO"", ""EN""), """")"),"Presidential elections")</f>
        <v>Presidential elections</v>
      </c>
      <c r="F36" s="5" t="str">
        <f>IFERROR(__xludf.DUMMYFUNCTION("IF(Q36&lt;&gt;"""", GOOGLETRANSLATE(Q36, ""RO"", ""EN""), """")"),"referendum")</f>
        <v>referendum</v>
      </c>
      <c r="G36" s="5" t="str">
        <f>IFERROR(__xludf.DUMMYFUNCTION("IF(R36&lt;&gt;"""", GOOGLETRANSLATE(R36, ""RO"", ""EN""), """")"),"both")</f>
        <v>both</v>
      </c>
      <c r="H36" s="5" t="str">
        <f>IFERROR(__xludf.DUMMYFUNCTION("IF(U36&lt;&gt;"""", GOOGLETRANSLATE(U36, ""RO"", ""EN""), """")"),"")</f>
        <v/>
      </c>
      <c r="I36" s="5" t="str">
        <f>IFERROR(__xludf.DUMMYFUNCTION("IF(V36&lt;&gt;"""", GOOGLETRANSLATE(V36, ""RO"", ""EN""), """")"),"")</f>
        <v/>
      </c>
      <c r="J36" s="5" t="str">
        <f>IFERROR(__xludf.DUMMYFUNCTION("IF(W36&lt;&gt;"""", GOOGLETRANSLATE(W36, ""RO"", ""EN""), """")"),"")</f>
        <v/>
      </c>
      <c r="K36" s="5" t="str">
        <f>IFERROR(__xludf.DUMMYFUNCTION("IF(X36&lt;&gt;"""", GOOGLETRANSLATE(X36, ""RO"", ""EN""), """")"),"")</f>
        <v/>
      </c>
      <c r="L36" s="5" t="str">
        <f>IFERROR(__xludf.DUMMYFUNCTION("IF(S36&lt;&gt;"""", GOOGLETRANSLATE(S36, ""RO"", ""EN""), """")"),"Ns")</f>
        <v>Ns</v>
      </c>
      <c r="M36" s="5" t="str">
        <f>IFERROR(__xludf.DUMMYFUNCTION("IF(T36&lt;&gt;"""", GOOGLETRANSLATE(T36, ""RO"", ""EN""), """")"),"No.")</f>
        <v>No.</v>
      </c>
      <c r="N36" s="5" t="str">
        <f>IFERROR(__xludf.DUMMYFUNCTION("IF(Y36&lt;&gt;"""", GOOGLETRANSLATE(Y36, ""RO"", ""EN""), """")"),"")</f>
        <v/>
      </c>
      <c r="P36" s="4" t="s">
        <v>198</v>
      </c>
      <c r="Q36" s="4" t="s">
        <v>199</v>
      </c>
      <c r="R36" s="4" t="s">
        <v>200</v>
      </c>
      <c r="S36" s="4" t="s">
        <v>103</v>
      </c>
      <c r="T36" s="4" t="s">
        <v>104</v>
      </c>
    </row>
    <row r="37" ht="15.75" customHeight="1">
      <c r="A37" s="4" t="s">
        <v>201</v>
      </c>
      <c r="B37" s="4" t="s">
        <v>202</v>
      </c>
      <c r="C37" s="4" t="str">
        <f>IFERROR(__xludf.DUMMYFUNCTION("GOOGLETRANSLATE(B37, ""RO"", ""EN"")"),"What do you think is the most important problem that Romania is currently facing?")</f>
        <v>What do you think is the most important problem that Romania is currently facing?</v>
      </c>
      <c r="D37" s="5" t="str">
        <f>IFERROR(__xludf.DUMMYFUNCTION("IF(O37&lt;&gt;"""", GOOGLETRANSLATE(O37, ""RO"", ""EN""), """")"),"")</f>
        <v/>
      </c>
      <c r="E37" s="6" t="str">
        <f>IFERROR(__xludf.DUMMYFUNCTION("IF(P37&lt;&gt;"""", GOOGLETRANSLATE(P37, ""RO"", ""EN""), """")"),"")</f>
        <v/>
      </c>
      <c r="F37" s="5" t="str">
        <f>IFERROR(__xludf.DUMMYFUNCTION("IF(Q37&lt;&gt;"""", GOOGLETRANSLATE(Q37, ""RO"", ""EN""), """")"),"")</f>
        <v/>
      </c>
      <c r="G37" s="5" t="str">
        <f>IFERROR(__xludf.DUMMYFUNCTION("IF(R37&lt;&gt;"""", GOOGLETRANSLATE(R37, ""RO"", ""EN""), """")"),"")</f>
        <v/>
      </c>
      <c r="H37" s="5" t="str">
        <f>IFERROR(__xludf.DUMMYFUNCTION("IF(U37&lt;&gt;"""", GOOGLETRANSLATE(U37, ""RO"", ""EN""), """")"),"")</f>
        <v/>
      </c>
      <c r="I37" s="5" t="str">
        <f>IFERROR(__xludf.DUMMYFUNCTION("IF(V37&lt;&gt;"""", GOOGLETRANSLATE(V37, ""RO"", ""EN""), """")"),"")</f>
        <v/>
      </c>
      <c r="J37" s="5" t="str">
        <f>IFERROR(__xludf.DUMMYFUNCTION("IF(W37&lt;&gt;"""", GOOGLETRANSLATE(W37, ""RO"", ""EN""), """")"),"")</f>
        <v/>
      </c>
      <c r="K37" s="5" t="str">
        <f>IFERROR(__xludf.DUMMYFUNCTION("IF(X37&lt;&gt;"""", GOOGLETRANSLATE(X37, ""RO"", ""EN""), """")"),"")</f>
        <v/>
      </c>
      <c r="L37" s="5" t="str">
        <f>IFERROR(__xludf.DUMMYFUNCTION("IF(S37&lt;&gt;"""", GOOGLETRANSLATE(S37, ""RO"", ""EN""), """")"),"")</f>
        <v/>
      </c>
      <c r="M37" s="5" t="str">
        <f>IFERROR(__xludf.DUMMYFUNCTION("IF(T37&lt;&gt;"""", GOOGLETRANSLATE(T37, ""RO"", ""EN""), """")"),"")</f>
        <v/>
      </c>
      <c r="N37" s="5" t="str">
        <f>IFERROR(__xludf.DUMMYFUNCTION("IF(Y37&lt;&gt;"""", GOOGLETRANSLATE(Y37, ""RO"", ""EN""), """")"),"")</f>
        <v/>
      </c>
    </row>
    <row r="38" ht="15.75" customHeight="1">
      <c r="A38" s="4" t="s">
        <v>203</v>
      </c>
      <c r="B38" s="4" t="s">
        <v>204</v>
      </c>
      <c r="C38" s="4" t="str">
        <f>IFERROR(__xludf.DUMMYFUNCTION("GOOGLETRANSLATE(B38, ""RO"", ""EN"")"),"Which of the political parties do you think would be able to manage this problem best?")</f>
        <v>Which of the political parties do you think would be able to manage this problem best?</v>
      </c>
      <c r="D38" s="5" t="str">
        <f>IFERROR(__xludf.DUMMYFUNCTION("IF(O38&lt;&gt;"""", GOOGLETRANSLATE(O38, ""RO"", ""EN""), """")"),"")</f>
        <v/>
      </c>
      <c r="E38" s="6" t="str">
        <f>IFERROR(__xludf.DUMMYFUNCTION("IF(P38&lt;&gt;"""", GOOGLETRANSLATE(P38, ""RO"", ""EN""), """")"),"National Liberal Party (PNL)")</f>
        <v>National Liberal Party (PNL)</v>
      </c>
      <c r="F38" s="5" t="str">
        <f>IFERROR(__xludf.DUMMYFUNCTION("IF(Q38&lt;&gt;"""", GOOGLETRANSLATE(Q38, ""RO"", ""EN""), """")"),"The Social Democratic Party (PSD)")</f>
        <v>The Social Democratic Party (PSD)</v>
      </c>
      <c r="G38" s="5" t="str">
        <f>IFERROR(__xludf.DUMMYFUNCTION("IF(R38&lt;&gt;"""", GOOGLETRANSLATE(R38, ""RO"", ""EN""), """")"),"Liberal Democratic Party (PD-L)")</f>
        <v>Liberal Democratic Party (PD-L)</v>
      </c>
      <c r="H38" s="5" t="str">
        <f>IFERROR(__xludf.DUMMYFUNCTION("IF(U38&lt;&gt;"""", GOOGLETRANSLATE(U38, ""RO"", ""EN""), """")"),"The Democratic Union of Hungarians in Romania (UDMR)")</f>
        <v>The Democratic Union of Hungarians in Romania (UDMR)</v>
      </c>
      <c r="I38" s="5" t="str">
        <f>IFERROR(__xludf.DUMMYFUNCTION("IF(V38&lt;&gt;"""", GOOGLETRANSLATE(V38, ""RO"", ""EN""), """")"),"The new generation party - Democratic Christian (PNG -CD)")</f>
        <v>The new generation party - Democratic Christian (PNG -CD)</v>
      </c>
      <c r="J38" s="5" t="str">
        <f>IFERROR(__xludf.DUMMYFUNCTION("IF(W38&lt;&gt;"""", GOOGLETRANSLATE(W38, ""RO"", ""EN""), """")"),"The Great Romania Party (PRM)")</f>
        <v>The Great Romania Party (PRM)</v>
      </c>
      <c r="K38" s="5" t="str">
        <f>IFERROR(__xludf.DUMMYFUNCTION("IF(X38&lt;&gt;"""", GOOGLETRANSLATE(X38, ""RO"", ""EN""), """")"),"Conservative Party (PC)")</f>
        <v>Conservative Party (PC)</v>
      </c>
      <c r="L38" s="5" t="str">
        <f>IFERROR(__xludf.DUMMYFUNCTION("IF(S38&lt;&gt;"""", GOOGLETRANSLATE(S38, ""RO"", ""EN""), """")"),"Another party. Which?")</f>
        <v>Another party. Which?</v>
      </c>
      <c r="M38" s="5" t="str">
        <f>IFERROR(__xludf.DUMMYFUNCTION("IF(T38&lt;&gt;"""", GOOGLETRANSLATE(T38, ""RO"", ""EN""), """")"),"No one")</f>
        <v>No one</v>
      </c>
      <c r="N38" s="5" t="str">
        <f>IFERROR(__xludf.DUMMYFUNCTION("IF(Y38&lt;&gt;"""", GOOGLETRANSLATE(Y38, ""RO"", ""EN""), """")"),"")</f>
        <v/>
      </c>
      <c r="P38" s="4" t="s">
        <v>205</v>
      </c>
      <c r="Q38" s="4" t="s">
        <v>206</v>
      </c>
      <c r="R38" s="4" t="s">
        <v>207</v>
      </c>
      <c r="S38" s="4" t="s">
        <v>208</v>
      </c>
      <c r="T38" s="4" t="s">
        <v>209</v>
      </c>
      <c r="U38" s="4" t="s">
        <v>210</v>
      </c>
      <c r="V38" s="4" t="s">
        <v>211</v>
      </c>
      <c r="W38" s="4" t="s">
        <v>212</v>
      </c>
      <c r="X38" s="4" t="s">
        <v>213</v>
      </c>
      <c r="AA38" s="4" t="s">
        <v>214</v>
      </c>
      <c r="AB38" s="4" t="s">
        <v>215</v>
      </c>
    </row>
    <row r="39" ht="15.75" customHeight="1">
      <c r="A39" s="4" t="s">
        <v>216</v>
      </c>
      <c r="B39" s="4" t="s">
        <v>208</v>
      </c>
      <c r="C39" s="4" t="str">
        <f>IFERROR(__xludf.DUMMYFUNCTION("GOOGLETRANSLATE(B39, ""RO"", ""EN"")"),"Another party. Which?")</f>
        <v>Another party. Which?</v>
      </c>
      <c r="D39" s="5" t="str">
        <f>IFERROR(__xludf.DUMMYFUNCTION("IF(O39&lt;&gt;"""", GOOGLETRANSLATE(O39, ""RO"", ""EN""), """")"),"")</f>
        <v/>
      </c>
      <c r="E39" s="6" t="str">
        <f>IFERROR(__xludf.DUMMYFUNCTION("IF(P39&lt;&gt;"""", GOOGLETRANSLATE(P39, ""RO"", ""EN""), """")"),"")</f>
        <v/>
      </c>
      <c r="F39" s="5" t="str">
        <f>IFERROR(__xludf.DUMMYFUNCTION("IF(Q39&lt;&gt;"""", GOOGLETRANSLATE(Q39, ""RO"", ""EN""), """")"),"")</f>
        <v/>
      </c>
      <c r="G39" s="5" t="str">
        <f>IFERROR(__xludf.DUMMYFUNCTION("IF(R39&lt;&gt;"""", GOOGLETRANSLATE(R39, ""RO"", ""EN""), """")"),"")</f>
        <v/>
      </c>
      <c r="H39" s="5" t="str">
        <f>IFERROR(__xludf.DUMMYFUNCTION("IF(U39&lt;&gt;"""", GOOGLETRANSLATE(U39, ""RO"", ""EN""), """")"),"")</f>
        <v/>
      </c>
      <c r="I39" s="5" t="str">
        <f>IFERROR(__xludf.DUMMYFUNCTION("IF(V39&lt;&gt;"""", GOOGLETRANSLATE(V39, ""RO"", ""EN""), """")"),"")</f>
        <v/>
      </c>
      <c r="J39" s="5" t="str">
        <f>IFERROR(__xludf.DUMMYFUNCTION("IF(W39&lt;&gt;"""", GOOGLETRANSLATE(W39, ""RO"", ""EN""), """")"),"")</f>
        <v/>
      </c>
      <c r="K39" s="5" t="str">
        <f>IFERROR(__xludf.DUMMYFUNCTION("IF(X39&lt;&gt;"""", GOOGLETRANSLATE(X39, ""RO"", ""EN""), """")"),"")</f>
        <v/>
      </c>
      <c r="L39" s="5" t="str">
        <f>IFERROR(__xludf.DUMMYFUNCTION("IF(S39&lt;&gt;"""", GOOGLETRANSLATE(S39, ""RO"", ""EN""), """")"),"")</f>
        <v/>
      </c>
      <c r="M39" s="5" t="str">
        <f>IFERROR(__xludf.DUMMYFUNCTION("IF(T39&lt;&gt;"""", GOOGLETRANSLATE(T39, ""RO"", ""EN""), """")"),"")</f>
        <v/>
      </c>
      <c r="N39" s="5" t="str">
        <f>IFERROR(__xludf.DUMMYFUNCTION("IF(Y39&lt;&gt;"""", GOOGLETRANSLATE(Y39, ""RO"", ""EN""), """")"),"")</f>
        <v/>
      </c>
    </row>
    <row r="40" ht="15.75" customHeight="1">
      <c r="A40" s="4" t="s">
        <v>217</v>
      </c>
      <c r="B40" s="4" t="s">
        <v>218</v>
      </c>
      <c r="C40" s="4" t="str">
        <f>IFERROR(__xludf.DUMMYFUNCTION("GOOGLETRANSLATE(B40, ""RO"", ""EN"")"),"Which of the candidates for the president do you think would be able to manage this problem best?")</f>
        <v>Which of the candidates for the president do you think would be able to manage this problem best?</v>
      </c>
      <c r="D40" s="5" t="str">
        <f>IFERROR(__xludf.DUMMYFUNCTION("IF(O40&lt;&gt;"""", GOOGLETRANSLATE(O40, ""RO"", ""EN""), """")"),"")</f>
        <v/>
      </c>
      <c r="E40" s="6" t="str">
        <f>IFERROR(__xludf.DUMMYFUNCTION("IF(P40&lt;&gt;"""", GOOGLETRANSLATE(P40, ""RO"", ""EN""), """")"),"Mircea Geoana")</f>
        <v>Mircea Geoana</v>
      </c>
      <c r="F40" s="5" t="str">
        <f>IFERROR(__xludf.DUMMYFUNCTION("IF(Q40&lt;&gt;"""", GOOGLETRANSLATE(Q40, ""RO"", ""EN""), """")"),"Crin Antonescu")</f>
        <v>Crin Antonescu</v>
      </c>
      <c r="G40" s="5" t="str">
        <f>IFERROR(__xludf.DUMMYFUNCTION("IF(R40&lt;&gt;"""", GOOGLETRANSLATE(R40, ""RO"", ""EN""), """")"),"Traian Basescu")</f>
        <v>Traian Basescu</v>
      </c>
      <c r="H40" s="5" t="str">
        <f>IFERROR(__xludf.DUMMYFUNCTION("IF(U40&lt;&gt;"""", GOOGLETRANSLATE(U40, ""RO"", ""EN""), """")"),"Sorin Oprescu")</f>
        <v>Sorin Oprescu</v>
      </c>
      <c r="I40" s="5" t="str">
        <f>IFERROR(__xludf.DUMMYFUNCTION("IF(V40&lt;&gt;"""", GOOGLETRANSLATE(V40, ""RO"", ""EN""), """")"),"Corneliu Vadim Tudor")</f>
        <v>Corneliu Vadim Tudor</v>
      </c>
      <c r="J40" s="5" t="str">
        <f>IFERROR(__xludf.DUMMYFUNCTION("IF(W40&lt;&gt;"""", GOOGLETRANSLATE(W40, ""RO"", ""EN""), """")"),"Kelemen Hunor")</f>
        <v>Kelemen Hunor</v>
      </c>
      <c r="K40" s="5" t="str">
        <f>IFERROR(__xludf.DUMMYFUNCTION("IF(X40&lt;&gt;"""", GOOGLETRANSLATE(X40, ""RO"", ""EN""), """")"),"George Becali")</f>
        <v>George Becali</v>
      </c>
      <c r="L40" s="5" t="str">
        <f>IFERROR(__xludf.DUMMYFUNCTION("IF(S40&lt;&gt;"""", GOOGLETRANSLATE(S40, ""RO"", ""EN""), """")"),"Another candidate. Which?")</f>
        <v>Another candidate. Which?</v>
      </c>
      <c r="M40" s="5" t="str">
        <f>IFERROR(__xludf.DUMMYFUNCTION("IF(T40&lt;&gt;"""", GOOGLETRANSLATE(T40, ""RO"", ""EN""), """")"),"No one")</f>
        <v>No one</v>
      </c>
      <c r="N40" s="5" t="str">
        <f>IFERROR(__xludf.DUMMYFUNCTION("IF(Y40&lt;&gt;"""", GOOGLETRANSLATE(Y40, ""RO"", ""EN""), """")"),"")</f>
        <v/>
      </c>
      <c r="P40" s="4" t="s">
        <v>219</v>
      </c>
      <c r="Q40" s="4" t="s">
        <v>220</v>
      </c>
      <c r="R40" s="4" t="s">
        <v>221</v>
      </c>
      <c r="S40" s="4" t="s">
        <v>222</v>
      </c>
      <c r="T40" s="4" t="s">
        <v>209</v>
      </c>
      <c r="U40" s="4" t="s">
        <v>223</v>
      </c>
      <c r="V40" s="4" t="s">
        <v>224</v>
      </c>
      <c r="W40" s="4" t="s">
        <v>225</v>
      </c>
      <c r="X40" s="4" t="s">
        <v>226</v>
      </c>
      <c r="AA40" s="4" t="s">
        <v>214</v>
      </c>
      <c r="AB40" s="4" t="s">
        <v>215</v>
      </c>
    </row>
    <row r="41" ht="15.75" customHeight="1">
      <c r="A41" s="4" t="s">
        <v>227</v>
      </c>
      <c r="B41" s="4" t="s">
        <v>222</v>
      </c>
      <c r="C41" s="4" t="str">
        <f>IFERROR(__xludf.DUMMYFUNCTION("GOOGLETRANSLATE(B41, ""RO"", ""EN"")"),"Another candidate. Which?")</f>
        <v>Another candidate. Which?</v>
      </c>
      <c r="D41" s="5" t="str">
        <f>IFERROR(__xludf.DUMMYFUNCTION("IF(O41&lt;&gt;"""", GOOGLETRANSLATE(O41, ""RO"", ""EN""), """")"),"")</f>
        <v/>
      </c>
      <c r="E41" s="6" t="str">
        <f>IFERROR(__xludf.DUMMYFUNCTION("IF(P41&lt;&gt;"""", GOOGLETRANSLATE(P41, ""RO"", ""EN""), """")"),"")</f>
        <v/>
      </c>
      <c r="F41" s="5" t="str">
        <f>IFERROR(__xludf.DUMMYFUNCTION("IF(Q41&lt;&gt;"""", GOOGLETRANSLATE(Q41, ""RO"", ""EN""), """")"),"")</f>
        <v/>
      </c>
      <c r="G41" s="5" t="str">
        <f>IFERROR(__xludf.DUMMYFUNCTION("IF(R41&lt;&gt;"""", GOOGLETRANSLATE(R41, ""RO"", ""EN""), """")"),"")</f>
        <v/>
      </c>
      <c r="H41" s="5" t="str">
        <f>IFERROR(__xludf.DUMMYFUNCTION("IF(U41&lt;&gt;"""", GOOGLETRANSLATE(U41, ""RO"", ""EN""), """")"),"")</f>
        <v/>
      </c>
      <c r="I41" s="5" t="str">
        <f>IFERROR(__xludf.DUMMYFUNCTION("IF(V41&lt;&gt;"""", GOOGLETRANSLATE(V41, ""RO"", ""EN""), """")"),"")</f>
        <v/>
      </c>
      <c r="J41" s="5" t="str">
        <f>IFERROR(__xludf.DUMMYFUNCTION("IF(W41&lt;&gt;"""", GOOGLETRANSLATE(W41, ""RO"", ""EN""), """")"),"")</f>
        <v/>
      </c>
      <c r="K41" s="5" t="str">
        <f>IFERROR(__xludf.DUMMYFUNCTION("IF(X41&lt;&gt;"""", GOOGLETRANSLATE(X41, ""RO"", ""EN""), """")"),"")</f>
        <v/>
      </c>
      <c r="L41" s="5" t="str">
        <f>IFERROR(__xludf.DUMMYFUNCTION("IF(S41&lt;&gt;"""", GOOGLETRANSLATE(S41, ""RO"", ""EN""), """")"),"")</f>
        <v/>
      </c>
      <c r="M41" s="5" t="str">
        <f>IFERROR(__xludf.DUMMYFUNCTION("IF(T41&lt;&gt;"""", GOOGLETRANSLATE(T41, ""RO"", ""EN""), """")"),"")</f>
        <v/>
      </c>
      <c r="N41" s="5" t="str">
        <f>IFERROR(__xludf.DUMMYFUNCTION("IF(Y41&lt;&gt;"""", GOOGLETRANSLATE(Y41, ""RO"", ""EN""), """")"),"")</f>
        <v/>
      </c>
    </row>
    <row r="42" ht="15.75" customHeight="1">
      <c r="A42" s="4" t="s">
        <v>228</v>
      </c>
      <c r="B42" s="4" t="s">
        <v>229</v>
      </c>
      <c r="C42" s="4" t="str">
        <f>IFERROR(__xludf.DUMMYFUNCTION("GOOGLETRANSLATE(B42, ""RO"", ""EN"")"),"Which of the politicians proposed for the position of prime minister do you think would be able to manage this problem best?")</f>
        <v>Which of the politicians proposed for the position of prime minister do you think would be able to manage this problem best?</v>
      </c>
      <c r="D42" s="5" t="str">
        <f>IFERROR(__xludf.DUMMYFUNCTION("IF(O42&lt;&gt;"""", GOOGLETRANSLATE(O42, ""RO"", ""EN""), """")"),"")</f>
        <v/>
      </c>
      <c r="E42" s="6" t="str">
        <f>IFERROR(__xludf.DUMMYFUNCTION("IF(P42&lt;&gt;"""", GOOGLETRANSLATE(P42, ""RO"", ""EN""), """")"),"Emil Boc")</f>
        <v>Emil Boc</v>
      </c>
      <c r="F42" s="5" t="str">
        <f>IFERROR(__xludf.DUMMYFUNCTION("IF(Q42&lt;&gt;"""", GOOGLETRANSLATE(Q42, ""RO"", ""EN""), """")"),"Klaus Iohannis")</f>
        <v>Klaus Iohannis</v>
      </c>
      <c r="G42" s="5" t="str">
        <f>IFERROR(__xludf.DUMMYFUNCTION("IF(R42&lt;&gt;"""", GOOGLETRANSLATE(R42, ""RO"", ""EN""), """")"),"Lucian Croitoru")</f>
        <v>Lucian Croitoru</v>
      </c>
      <c r="H42" s="5" t="str">
        <f>IFERROR(__xludf.DUMMYFUNCTION("IF(U42&lt;&gt;"""", GOOGLETRANSLATE(U42, ""RO"", ""EN""), """")"),"Liviu Negoita")</f>
        <v>Liviu Negoita</v>
      </c>
      <c r="I42" s="5" t="str">
        <f>IFERROR(__xludf.DUMMYFUNCTION("IF(V42&lt;&gt;"""", GOOGLETRANSLATE(V42, ""RO"", ""EN""), """")"),"")</f>
        <v/>
      </c>
      <c r="J42" s="5" t="str">
        <f>IFERROR(__xludf.DUMMYFUNCTION("IF(W42&lt;&gt;"""", GOOGLETRANSLATE(W42, ""RO"", ""EN""), """")"),"")</f>
        <v/>
      </c>
      <c r="K42" s="5" t="str">
        <f>IFERROR(__xludf.DUMMYFUNCTION("IF(X42&lt;&gt;"""", GOOGLETRANSLATE(X42, ""RO"", ""EN""), """")"),"")</f>
        <v/>
      </c>
      <c r="L42" s="5" t="str">
        <f>IFERROR(__xludf.DUMMYFUNCTION("IF(S42&lt;&gt;"""", GOOGLETRANSLATE(S42, ""RO"", ""EN""), """")"),"Somebody else. Who?")</f>
        <v>Somebody else. Who?</v>
      </c>
      <c r="M42" s="5" t="str">
        <f>IFERROR(__xludf.DUMMYFUNCTION("IF(T42&lt;&gt;"""", GOOGLETRANSLATE(T42, ""RO"", ""EN""), """")"),"No one")</f>
        <v>No one</v>
      </c>
      <c r="N42" s="5" t="str">
        <f>IFERROR(__xludf.DUMMYFUNCTION("IF(Y42&lt;&gt;"""", GOOGLETRANSLATE(Y42, ""RO"", ""EN""), """")"),"")</f>
        <v/>
      </c>
      <c r="P42" s="4" t="s">
        <v>230</v>
      </c>
      <c r="Q42" s="4" t="s">
        <v>231</v>
      </c>
      <c r="R42" s="4" t="s">
        <v>232</v>
      </c>
      <c r="S42" s="4" t="s">
        <v>233</v>
      </c>
      <c r="T42" s="4" t="s">
        <v>209</v>
      </c>
      <c r="U42" s="4" t="s">
        <v>234</v>
      </c>
      <c r="AA42" s="4" t="s">
        <v>214</v>
      </c>
      <c r="AB42" s="4" t="s">
        <v>215</v>
      </c>
    </row>
    <row r="43" ht="15.75" customHeight="1">
      <c r="A43" s="4" t="s">
        <v>235</v>
      </c>
      <c r="B43" s="4" t="s">
        <v>233</v>
      </c>
      <c r="C43" s="4" t="str">
        <f>IFERROR(__xludf.DUMMYFUNCTION("GOOGLETRANSLATE(B43, ""RO"", ""EN"")"),"Somebody else. Who?")</f>
        <v>Somebody else. Who?</v>
      </c>
      <c r="D43" s="5" t="str">
        <f>IFERROR(__xludf.DUMMYFUNCTION("IF(O43&lt;&gt;"""", GOOGLETRANSLATE(O43, ""RO"", ""EN""), """")"),"")</f>
        <v/>
      </c>
      <c r="E43" s="6" t="str">
        <f>IFERROR(__xludf.DUMMYFUNCTION("IF(P43&lt;&gt;"""", GOOGLETRANSLATE(P43, ""RO"", ""EN""), """")"),"")</f>
        <v/>
      </c>
      <c r="F43" s="5" t="str">
        <f>IFERROR(__xludf.DUMMYFUNCTION("IF(Q43&lt;&gt;"""", GOOGLETRANSLATE(Q43, ""RO"", ""EN""), """")"),"")</f>
        <v/>
      </c>
      <c r="G43" s="5" t="str">
        <f>IFERROR(__xludf.DUMMYFUNCTION("IF(R43&lt;&gt;"""", GOOGLETRANSLATE(R43, ""RO"", ""EN""), """")"),"")</f>
        <v/>
      </c>
      <c r="H43" s="5" t="str">
        <f>IFERROR(__xludf.DUMMYFUNCTION("IF(U43&lt;&gt;"""", GOOGLETRANSLATE(U43, ""RO"", ""EN""), """")"),"")</f>
        <v/>
      </c>
      <c r="I43" s="5" t="str">
        <f>IFERROR(__xludf.DUMMYFUNCTION("IF(V43&lt;&gt;"""", GOOGLETRANSLATE(V43, ""RO"", ""EN""), """")"),"")</f>
        <v/>
      </c>
      <c r="J43" s="5" t="str">
        <f>IFERROR(__xludf.DUMMYFUNCTION("IF(W43&lt;&gt;"""", GOOGLETRANSLATE(W43, ""RO"", ""EN""), """")"),"")</f>
        <v/>
      </c>
      <c r="K43" s="5" t="str">
        <f>IFERROR(__xludf.DUMMYFUNCTION("IF(X43&lt;&gt;"""", GOOGLETRANSLATE(X43, ""RO"", ""EN""), """")"),"")</f>
        <v/>
      </c>
      <c r="L43" s="5" t="str">
        <f>IFERROR(__xludf.DUMMYFUNCTION("IF(S43&lt;&gt;"""", GOOGLETRANSLATE(S43, ""RO"", ""EN""), """")"),"")</f>
        <v/>
      </c>
      <c r="M43" s="5" t="str">
        <f>IFERROR(__xludf.DUMMYFUNCTION("IF(T43&lt;&gt;"""", GOOGLETRANSLATE(T43, ""RO"", ""EN""), """")"),"")</f>
        <v/>
      </c>
      <c r="N43" s="5" t="str">
        <f>IFERROR(__xludf.DUMMYFUNCTION("IF(Y43&lt;&gt;"""", GOOGLETRANSLATE(Y43, ""RO"", ""EN""), """")"),"")</f>
        <v/>
      </c>
    </row>
    <row r="44" ht="15.75" customHeight="1">
      <c r="A44" s="4" t="s">
        <v>236</v>
      </c>
      <c r="B44" s="4" t="s">
        <v>237</v>
      </c>
      <c r="C44" s="4" t="str">
        <f>IFERROR(__xludf.DUMMYFUNCTION("GOOGLETRANSLATE(B44, ""RO"", ""EN"")"),"On a scale from 0 to 10, where 0 means ""very bad"" and 10 ""very good"" how do you appreciate the activity of the Government ...? But the activity of the government ...? birth")</f>
        <v>On a scale from 0 to 10, where 0 means "very bad" and 10 "very good" how do you appreciate the activity of the Government ...? But the activity of the government ...? birth</v>
      </c>
      <c r="D44" s="5" t="str">
        <f>IFERROR(__xludf.DUMMYFUNCTION("IF(O44&lt;&gt;"""", GOOGLETRANSLATE(O44, ""RO"", ""EN""), """")"),"Very stupid")</f>
        <v>Very stupid</v>
      </c>
      <c r="E44" s="6" t="str">
        <f>IFERROR(__xludf.DUMMYFUNCTION("IF(P44&lt;&gt;"""", GOOGLETRANSLATE(P44, ""RO"", ""EN""), """")"),"1")</f>
        <v>1</v>
      </c>
      <c r="F44" s="5" t="str">
        <f>IFERROR(__xludf.DUMMYFUNCTION("IF(Q44&lt;&gt;"""", GOOGLETRANSLATE(Q44, ""RO"", ""EN""), """")"),"2")</f>
        <v>2</v>
      </c>
      <c r="G44" s="5" t="str">
        <f>IFERROR(__xludf.DUMMYFUNCTION("IF(R44&lt;&gt;"""", GOOGLETRANSLATE(R44, ""RO"", ""EN""), """")"),"3")</f>
        <v>3</v>
      </c>
      <c r="H44" s="5" t="str">
        <f>IFERROR(__xludf.DUMMYFUNCTION("IF(U44&lt;&gt;"""", GOOGLETRANSLATE(U44, ""RO"", ""EN""), """")"),"4")</f>
        <v>4</v>
      </c>
      <c r="I44" s="5" t="str">
        <f>IFERROR(__xludf.DUMMYFUNCTION("IF(V44&lt;&gt;"""", GOOGLETRANSLATE(V44, ""RO"", ""EN""), """")"),"5")</f>
        <v>5</v>
      </c>
      <c r="J44" s="5" t="str">
        <f>IFERROR(__xludf.DUMMYFUNCTION("IF(W44&lt;&gt;"""", GOOGLETRANSLATE(W44, ""RO"", ""EN""), """")"),"6")</f>
        <v>6</v>
      </c>
      <c r="K44" s="5" t="str">
        <f>IFERROR(__xludf.DUMMYFUNCTION("IF(X44&lt;&gt;"""", GOOGLETRANSLATE(X44, ""RO"", ""EN""), """")"),"7")</f>
        <v>7</v>
      </c>
      <c r="L44" s="5" t="str">
        <f>IFERROR(__xludf.DUMMYFUNCTION("IF(S44&lt;&gt;"""", GOOGLETRANSLATE(S44, ""RO"", ""EN""), """")"),"8")</f>
        <v>8</v>
      </c>
      <c r="M44" s="5" t="str">
        <f>IFERROR(__xludf.DUMMYFUNCTION("IF(T44&lt;&gt;"""", GOOGLETRANSLATE(T44, ""RO"", ""EN""), """")"),"9")</f>
        <v>9</v>
      </c>
      <c r="N44" s="5" t="str">
        <f>IFERROR(__xludf.DUMMYFUNCTION("IF(Y44&lt;&gt;"""", GOOGLETRANSLATE(Y44, ""RO"", ""EN""), """")"),"Very good")</f>
        <v>Very good</v>
      </c>
      <c r="O44" s="4" t="s">
        <v>238</v>
      </c>
      <c r="P44" s="4" t="s">
        <v>168</v>
      </c>
      <c r="Q44" s="4" t="s">
        <v>169</v>
      </c>
      <c r="R44" s="4" t="s">
        <v>170</v>
      </c>
      <c r="S44" s="4" t="s">
        <v>171</v>
      </c>
      <c r="T44" s="4" t="s">
        <v>172</v>
      </c>
      <c r="U44" s="4" t="s">
        <v>173</v>
      </c>
      <c r="V44" s="4" t="s">
        <v>174</v>
      </c>
      <c r="W44" s="4" t="s">
        <v>175</v>
      </c>
      <c r="X44" s="4" t="s">
        <v>176</v>
      </c>
      <c r="Y44" s="4" t="s">
        <v>239</v>
      </c>
      <c r="Z44" s="4" t="s">
        <v>240</v>
      </c>
      <c r="AA44" s="4" t="s">
        <v>103</v>
      </c>
      <c r="AB44" s="4" t="s">
        <v>104</v>
      </c>
    </row>
    <row r="45" ht="15.75" customHeight="1">
      <c r="A45" s="4" t="s">
        <v>241</v>
      </c>
      <c r="B45" s="4" t="s">
        <v>242</v>
      </c>
      <c r="C45" s="4" t="str">
        <f>IFERROR(__xludf.DUMMYFUNCTION("GOOGLETRANSLATE(B45, ""RO"", ""EN"")"),"Tariceanu")</f>
        <v>Tariceanu</v>
      </c>
      <c r="D45" s="5" t="str">
        <f>IFERROR(__xludf.DUMMYFUNCTION("IF(O45&lt;&gt;"""", GOOGLETRANSLATE(O45, ""RO"", ""EN""), """")"),"Very stupid")</f>
        <v>Very stupid</v>
      </c>
      <c r="E45" s="6" t="str">
        <f>IFERROR(__xludf.DUMMYFUNCTION("IF(P45&lt;&gt;"""", GOOGLETRANSLATE(P45, ""RO"", ""EN""), """")"),"1")</f>
        <v>1</v>
      </c>
      <c r="F45" s="5" t="str">
        <f>IFERROR(__xludf.DUMMYFUNCTION("IF(Q45&lt;&gt;"""", GOOGLETRANSLATE(Q45, ""RO"", ""EN""), """")"),"2")</f>
        <v>2</v>
      </c>
      <c r="G45" s="5" t="str">
        <f>IFERROR(__xludf.DUMMYFUNCTION("IF(R45&lt;&gt;"""", GOOGLETRANSLATE(R45, ""RO"", ""EN""), """")"),"3")</f>
        <v>3</v>
      </c>
      <c r="H45" s="5" t="str">
        <f>IFERROR(__xludf.DUMMYFUNCTION("IF(U45&lt;&gt;"""", GOOGLETRANSLATE(U45, ""RO"", ""EN""), """")"),"4")</f>
        <v>4</v>
      </c>
      <c r="I45" s="5" t="str">
        <f>IFERROR(__xludf.DUMMYFUNCTION("IF(V45&lt;&gt;"""", GOOGLETRANSLATE(V45, ""RO"", ""EN""), """")"),"5")</f>
        <v>5</v>
      </c>
      <c r="J45" s="5" t="str">
        <f>IFERROR(__xludf.DUMMYFUNCTION("IF(W45&lt;&gt;"""", GOOGLETRANSLATE(W45, ""RO"", ""EN""), """")"),"6")</f>
        <v>6</v>
      </c>
      <c r="K45" s="5" t="str">
        <f>IFERROR(__xludf.DUMMYFUNCTION("IF(X45&lt;&gt;"""", GOOGLETRANSLATE(X45, ""RO"", ""EN""), """")"),"7")</f>
        <v>7</v>
      </c>
      <c r="L45" s="5" t="str">
        <f>IFERROR(__xludf.DUMMYFUNCTION("IF(S45&lt;&gt;"""", GOOGLETRANSLATE(S45, ""RO"", ""EN""), """")"),"8")</f>
        <v>8</v>
      </c>
      <c r="M45" s="5" t="str">
        <f>IFERROR(__xludf.DUMMYFUNCTION("IF(T45&lt;&gt;"""", GOOGLETRANSLATE(T45, ""RO"", ""EN""), """")"),"9")</f>
        <v>9</v>
      </c>
      <c r="N45" s="5" t="str">
        <f>IFERROR(__xludf.DUMMYFUNCTION("IF(Y45&lt;&gt;"""", GOOGLETRANSLATE(Y45, ""RO"", ""EN""), """")"),"Very good")</f>
        <v>Very good</v>
      </c>
      <c r="O45" s="4" t="s">
        <v>238</v>
      </c>
      <c r="P45" s="4" t="s">
        <v>168</v>
      </c>
      <c r="Q45" s="4" t="s">
        <v>169</v>
      </c>
      <c r="R45" s="4" t="s">
        <v>170</v>
      </c>
      <c r="S45" s="4" t="s">
        <v>171</v>
      </c>
      <c r="T45" s="4" t="s">
        <v>172</v>
      </c>
      <c r="U45" s="4" t="s">
        <v>173</v>
      </c>
      <c r="V45" s="4" t="s">
        <v>174</v>
      </c>
      <c r="W45" s="4" t="s">
        <v>175</v>
      </c>
      <c r="X45" s="4" t="s">
        <v>176</v>
      </c>
      <c r="Y45" s="4" t="s">
        <v>239</v>
      </c>
      <c r="Z45" s="4" t="s">
        <v>240</v>
      </c>
      <c r="AA45" s="4" t="s">
        <v>103</v>
      </c>
      <c r="AB45" s="4" t="s">
        <v>104</v>
      </c>
    </row>
    <row r="46" ht="15.75" customHeight="1">
      <c r="A46" s="4" t="s">
        <v>243</v>
      </c>
      <c r="B46" s="4" t="s">
        <v>244</v>
      </c>
      <c r="C46" s="4" t="str">
        <f>IFERROR(__xludf.DUMMYFUNCTION("GOOGLETRANSLATE(B46, ""RO"", ""EN"")"),"bang")</f>
        <v>bang</v>
      </c>
      <c r="D46" s="5" t="str">
        <f>IFERROR(__xludf.DUMMYFUNCTION("IF(O46&lt;&gt;"""", GOOGLETRANSLATE(O46, ""RO"", ""EN""), """")"),"Very stupid")</f>
        <v>Very stupid</v>
      </c>
      <c r="E46" s="6" t="str">
        <f>IFERROR(__xludf.DUMMYFUNCTION("IF(P46&lt;&gt;"""", GOOGLETRANSLATE(P46, ""RO"", ""EN""), """")"),"1")</f>
        <v>1</v>
      </c>
      <c r="F46" s="5" t="str">
        <f>IFERROR(__xludf.DUMMYFUNCTION("IF(Q46&lt;&gt;"""", GOOGLETRANSLATE(Q46, ""RO"", ""EN""), """")"),"2")</f>
        <v>2</v>
      </c>
      <c r="G46" s="5" t="str">
        <f>IFERROR(__xludf.DUMMYFUNCTION("IF(R46&lt;&gt;"""", GOOGLETRANSLATE(R46, ""RO"", ""EN""), """")"),"3")</f>
        <v>3</v>
      </c>
      <c r="H46" s="5" t="str">
        <f>IFERROR(__xludf.DUMMYFUNCTION("IF(U46&lt;&gt;"""", GOOGLETRANSLATE(U46, ""RO"", ""EN""), """")"),"4")</f>
        <v>4</v>
      </c>
      <c r="I46" s="5" t="str">
        <f>IFERROR(__xludf.DUMMYFUNCTION("IF(V46&lt;&gt;"""", GOOGLETRANSLATE(V46, ""RO"", ""EN""), """")"),"5")</f>
        <v>5</v>
      </c>
      <c r="J46" s="5" t="str">
        <f>IFERROR(__xludf.DUMMYFUNCTION("IF(W46&lt;&gt;"""", GOOGLETRANSLATE(W46, ""RO"", ""EN""), """")"),"6")</f>
        <v>6</v>
      </c>
      <c r="K46" s="5" t="str">
        <f>IFERROR(__xludf.DUMMYFUNCTION("IF(X46&lt;&gt;"""", GOOGLETRANSLATE(X46, ""RO"", ""EN""), """")"),"7")</f>
        <v>7</v>
      </c>
      <c r="L46" s="5" t="str">
        <f>IFERROR(__xludf.DUMMYFUNCTION("IF(S46&lt;&gt;"""", GOOGLETRANSLATE(S46, ""RO"", ""EN""), """")"),"8")</f>
        <v>8</v>
      </c>
      <c r="M46" s="5" t="str">
        <f>IFERROR(__xludf.DUMMYFUNCTION("IF(T46&lt;&gt;"""", GOOGLETRANSLATE(T46, ""RO"", ""EN""), """")"),"9")</f>
        <v>9</v>
      </c>
      <c r="N46" s="5" t="str">
        <f>IFERROR(__xludf.DUMMYFUNCTION("IF(Y46&lt;&gt;"""", GOOGLETRANSLATE(Y46, ""RO"", ""EN""), """")"),"Very good")</f>
        <v>Very good</v>
      </c>
      <c r="O46" s="4" t="s">
        <v>238</v>
      </c>
      <c r="P46" s="4" t="s">
        <v>168</v>
      </c>
      <c r="Q46" s="4" t="s">
        <v>169</v>
      </c>
      <c r="R46" s="4" t="s">
        <v>170</v>
      </c>
      <c r="S46" s="4" t="s">
        <v>171</v>
      </c>
      <c r="T46" s="4" t="s">
        <v>172</v>
      </c>
      <c r="U46" s="4" t="s">
        <v>173</v>
      </c>
      <c r="V46" s="4" t="s">
        <v>174</v>
      </c>
      <c r="W46" s="4" t="s">
        <v>175</v>
      </c>
      <c r="X46" s="4" t="s">
        <v>176</v>
      </c>
      <c r="Y46" s="4" t="s">
        <v>239</v>
      </c>
      <c r="Z46" s="4" t="s">
        <v>240</v>
      </c>
      <c r="AA46" s="4" t="s">
        <v>103</v>
      </c>
      <c r="AB46" s="4" t="s">
        <v>104</v>
      </c>
    </row>
    <row r="47" ht="15.75" customHeight="1">
      <c r="A47" s="4" t="s">
        <v>245</v>
      </c>
      <c r="B47" s="4" t="s">
        <v>246</v>
      </c>
      <c r="C47" s="4" t="str">
        <f>IFERROR(__xludf.DUMMYFUNCTION("GOOGLETRANSLATE(B47, ""RO"", ""EN"")"),"On a scale from 0 to 10, where 0 means ""very bad"" and 10 ""very good"" how do you appreciate his activity ... as president of Romania? But his activity ...? Ion Iliescu")</f>
        <v>On a scale from 0 to 10, where 0 means "very bad" and 10 "very good" how do you appreciate his activity ... as president of Romania? But his activity ...? Ion Iliescu</v>
      </c>
      <c r="D47" s="5" t="str">
        <f>IFERROR(__xludf.DUMMYFUNCTION("IF(O47&lt;&gt;"""", GOOGLETRANSLATE(O47, ""RO"", ""EN""), """")"),"Very stupid")</f>
        <v>Very stupid</v>
      </c>
      <c r="E47" s="6" t="str">
        <f>IFERROR(__xludf.DUMMYFUNCTION("IF(P47&lt;&gt;"""", GOOGLETRANSLATE(P47, ""RO"", ""EN""), """")"),"1")</f>
        <v>1</v>
      </c>
      <c r="F47" s="5" t="str">
        <f>IFERROR(__xludf.DUMMYFUNCTION("IF(Q47&lt;&gt;"""", GOOGLETRANSLATE(Q47, ""RO"", ""EN""), """")"),"2")</f>
        <v>2</v>
      </c>
      <c r="G47" s="5" t="str">
        <f>IFERROR(__xludf.DUMMYFUNCTION("IF(R47&lt;&gt;"""", GOOGLETRANSLATE(R47, ""RO"", ""EN""), """")"),"3")</f>
        <v>3</v>
      </c>
      <c r="H47" s="5" t="str">
        <f>IFERROR(__xludf.DUMMYFUNCTION("IF(U47&lt;&gt;"""", GOOGLETRANSLATE(U47, ""RO"", ""EN""), """")"),"4")</f>
        <v>4</v>
      </c>
      <c r="I47" s="5" t="str">
        <f>IFERROR(__xludf.DUMMYFUNCTION("IF(V47&lt;&gt;"""", GOOGLETRANSLATE(V47, ""RO"", ""EN""), """")"),"5")</f>
        <v>5</v>
      </c>
      <c r="J47" s="5" t="str">
        <f>IFERROR(__xludf.DUMMYFUNCTION("IF(W47&lt;&gt;"""", GOOGLETRANSLATE(W47, ""RO"", ""EN""), """")"),"6")</f>
        <v>6</v>
      </c>
      <c r="K47" s="5" t="str">
        <f>IFERROR(__xludf.DUMMYFUNCTION("IF(X47&lt;&gt;"""", GOOGLETRANSLATE(X47, ""RO"", ""EN""), """")"),"7")</f>
        <v>7</v>
      </c>
      <c r="L47" s="5" t="str">
        <f>IFERROR(__xludf.DUMMYFUNCTION("IF(S47&lt;&gt;"""", GOOGLETRANSLATE(S47, ""RO"", ""EN""), """")"),"8")</f>
        <v>8</v>
      </c>
      <c r="M47" s="5" t="str">
        <f>IFERROR(__xludf.DUMMYFUNCTION("IF(T47&lt;&gt;"""", GOOGLETRANSLATE(T47, ""RO"", ""EN""), """")"),"9")</f>
        <v>9</v>
      </c>
      <c r="N47" s="5" t="str">
        <f>IFERROR(__xludf.DUMMYFUNCTION("IF(Y47&lt;&gt;"""", GOOGLETRANSLATE(Y47, ""RO"", ""EN""), """")"),"Very good")</f>
        <v>Very good</v>
      </c>
      <c r="O47" s="4" t="s">
        <v>238</v>
      </c>
      <c r="P47" s="4" t="s">
        <v>168</v>
      </c>
      <c r="Q47" s="4" t="s">
        <v>169</v>
      </c>
      <c r="R47" s="4" t="s">
        <v>170</v>
      </c>
      <c r="S47" s="4" t="s">
        <v>171</v>
      </c>
      <c r="T47" s="4" t="s">
        <v>172</v>
      </c>
      <c r="U47" s="4" t="s">
        <v>173</v>
      </c>
      <c r="V47" s="4" t="s">
        <v>174</v>
      </c>
      <c r="W47" s="4" t="s">
        <v>175</v>
      </c>
      <c r="X47" s="4" t="s">
        <v>176</v>
      </c>
      <c r="Y47" s="4" t="s">
        <v>239</v>
      </c>
      <c r="Z47" s="4" t="s">
        <v>240</v>
      </c>
      <c r="AA47" s="4" t="s">
        <v>103</v>
      </c>
      <c r="AB47" s="4" t="s">
        <v>104</v>
      </c>
    </row>
    <row r="48" ht="15.75" customHeight="1">
      <c r="A48" s="4" t="s">
        <v>247</v>
      </c>
      <c r="B48" s="4" t="s">
        <v>248</v>
      </c>
      <c r="C48" s="4" t="str">
        <f>IFERROR(__xludf.DUMMYFUNCTION("GOOGLETRANSLATE(B48, ""RO"", ""EN"")"),"Emil Constantinescu")</f>
        <v>Emil Constantinescu</v>
      </c>
      <c r="D48" s="5" t="str">
        <f>IFERROR(__xludf.DUMMYFUNCTION("IF(O48&lt;&gt;"""", GOOGLETRANSLATE(O48, ""RO"", ""EN""), """")"),"Very stupid")</f>
        <v>Very stupid</v>
      </c>
      <c r="E48" s="6" t="str">
        <f>IFERROR(__xludf.DUMMYFUNCTION("IF(P48&lt;&gt;"""", GOOGLETRANSLATE(P48, ""RO"", ""EN""), """")"),"1")</f>
        <v>1</v>
      </c>
      <c r="F48" s="5" t="str">
        <f>IFERROR(__xludf.DUMMYFUNCTION("IF(Q48&lt;&gt;"""", GOOGLETRANSLATE(Q48, ""RO"", ""EN""), """")"),"2")</f>
        <v>2</v>
      </c>
      <c r="G48" s="5" t="str">
        <f>IFERROR(__xludf.DUMMYFUNCTION("IF(R48&lt;&gt;"""", GOOGLETRANSLATE(R48, ""RO"", ""EN""), """")"),"3")</f>
        <v>3</v>
      </c>
      <c r="H48" s="5" t="str">
        <f>IFERROR(__xludf.DUMMYFUNCTION("IF(U48&lt;&gt;"""", GOOGLETRANSLATE(U48, ""RO"", ""EN""), """")"),"4")</f>
        <v>4</v>
      </c>
      <c r="I48" s="5" t="str">
        <f>IFERROR(__xludf.DUMMYFUNCTION("IF(V48&lt;&gt;"""", GOOGLETRANSLATE(V48, ""RO"", ""EN""), """")"),"5")</f>
        <v>5</v>
      </c>
      <c r="J48" s="5" t="str">
        <f>IFERROR(__xludf.DUMMYFUNCTION("IF(W48&lt;&gt;"""", GOOGLETRANSLATE(W48, ""RO"", ""EN""), """")"),"6")</f>
        <v>6</v>
      </c>
      <c r="K48" s="5" t="str">
        <f>IFERROR(__xludf.DUMMYFUNCTION("IF(X48&lt;&gt;"""", GOOGLETRANSLATE(X48, ""RO"", ""EN""), """")"),"7")</f>
        <v>7</v>
      </c>
      <c r="L48" s="5" t="str">
        <f>IFERROR(__xludf.DUMMYFUNCTION("IF(S48&lt;&gt;"""", GOOGLETRANSLATE(S48, ""RO"", ""EN""), """")"),"8")</f>
        <v>8</v>
      </c>
      <c r="M48" s="5" t="str">
        <f>IFERROR(__xludf.DUMMYFUNCTION("IF(T48&lt;&gt;"""", GOOGLETRANSLATE(T48, ""RO"", ""EN""), """")"),"9")</f>
        <v>9</v>
      </c>
      <c r="N48" s="5" t="str">
        <f>IFERROR(__xludf.DUMMYFUNCTION("IF(Y48&lt;&gt;"""", GOOGLETRANSLATE(Y48, ""RO"", ""EN""), """")"),"Very good")</f>
        <v>Very good</v>
      </c>
      <c r="O48" s="4" t="s">
        <v>238</v>
      </c>
      <c r="P48" s="4" t="s">
        <v>168</v>
      </c>
      <c r="Q48" s="4" t="s">
        <v>169</v>
      </c>
      <c r="R48" s="4" t="s">
        <v>170</v>
      </c>
      <c r="S48" s="4" t="s">
        <v>171</v>
      </c>
      <c r="T48" s="4" t="s">
        <v>172</v>
      </c>
      <c r="U48" s="4" t="s">
        <v>173</v>
      </c>
      <c r="V48" s="4" t="s">
        <v>174</v>
      </c>
      <c r="W48" s="4" t="s">
        <v>175</v>
      </c>
      <c r="X48" s="4" t="s">
        <v>176</v>
      </c>
      <c r="Y48" s="4" t="s">
        <v>239</v>
      </c>
      <c r="Z48" s="4" t="s">
        <v>240</v>
      </c>
      <c r="AA48" s="4" t="s">
        <v>103</v>
      </c>
      <c r="AB48" s="4" t="s">
        <v>104</v>
      </c>
    </row>
    <row r="49" ht="15.75" customHeight="1">
      <c r="A49" s="4" t="s">
        <v>249</v>
      </c>
      <c r="B49" s="4" t="s">
        <v>221</v>
      </c>
      <c r="C49" s="4" t="str">
        <f>IFERROR(__xludf.DUMMYFUNCTION("GOOGLETRANSLATE(B49, ""RO"", ""EN"")"),"Traian Basescu")</f>
        <v>Traian Basescu</v>
      </c>
      <c r="D49" s="5" t="str">
        <f>IFERROR(__xludf.DUMMYFUNCTION("IF(O49&lt;&gt;"""", GOOGLETRANSLATE(O49, ""RO"", ""EN""), """")"),"Very stupid")</f>
        <v>Very stupid</v>
      </c>
      <c r="E49" s="6" t="str">
        <f>IFERROR(__xludf.DUMMYFUNCTION("IF(P49&lt;&gt;"""", GOOGLETRANSLATE(P49, ""RO"", ""EN""), """")"),"1")</f>
        <v>1</v>
      </c>
      <c r="F49" s="5" t="str">
        <f>IFERROR(__xludf.DUMMYFUNCTION("IF(Q49&lt;&gt;"""", GOOGLETRANSLATE(Q49, ""RO"", ""EN""), """")"),"2")</f>
        <v>2</v>
      </c>
      <c r="G49" s="5" t="str">
        <f>IFERROR(__xludf.DUMMYFUNCTION("IF(R49&lt;&gt;"""", GOOGLETRANSLATE(R49, ""RO"", ""EN""), """")"),"3")</f>
        <v>3</v>
      </c>
      <c r="H49" s="5" t="str">
        <f>IFERROR(__xludf.DUMMYFUNCTION("IF(U49&lt;&gt;"""", GOOGLETRANSLATE(U49, ""RO"", ""EN""), """")"),"4")</f>
        <v>4</v>
      </c>
      <c r="I49" s="5" t="str">
        <f>IFERROR(__xludf.DUMMYFUNCTION("IF(V49&lt;&gt;"""", GOOGLETRANSLATE(V49, ""RO"", ""EN""), """")"),"5")</f>
        <v>5</v>
      </c>
      <c r="J49" s="5" t="str">
        <f>IFERROR(__xludf.DUMMYFUNCTION("IF(W49&lt;&gt;"""", GOOGLETRANSLATE(W49, ""RO"", ""EN""), """")"),"6")</f>
        <v>6</v>
      </c>
      <c r="K49" s="5" t="str">
        <f>IFERROR(__xludf.DUMMYFUNCTION("IF(X49&lt;&gt;"""", GOOGLETRANSLATE(X49, ""RO"", ""EN""), """")"),"7")</f>
        <v>7</v>
      </c>
      <c r="L49" s="5" t="str">
        <f>IFERROR(__xludf.DUMMYFUNCTION("IF(S49&lt;&gt;"""", GOOGLETRANSLATE(S49, ""RO"", ""EN""), """")"),"8")</f>
        <v>8</v>
      </c>
      <c r="M49" s="5" t="str">
        <f>IFERROR(__xludf.DUMMYFUNCTION("IF(T49&lt;&gt;"""", GOOGLETRANSLATE(T49, ""RO"", ""EN""), """")"),"9")</f>
        <v>9</v>
      </c>
      <c r="N49" s="5" t="str">
        <f>IFERROR(__xludf.DUMMYFUNCTION("IF(Y49&lt;&gt;"""", GOOGLETRANSLATE(Y49, ""RO"", ""EN""), """")"),"Very good")</f>
        <v>Very good</v>
      </c>
      <c r="O49" s="4" t="s">
        <v>238</v>
      </c>
      <c r="P49" s="4" t="s">
        <v>168</v>
      </c>
      <c r="Q49" s="4" t="s">
        <v>169</v>
      </c>
      <c r="R49" s="4" t="s">
        <v>170</v>
      </c>
      <c r="S49" s="4" t="s">
        <v>171</v>
      </c>
      <c r="T49" s="4" t="s">
        <v>172</v>
      </c>
      <c r="U49" s="4" t="s">
        <v>173</v>
      </c>
      <c r="V49" s="4" t="s">
        <v>174</v>
      </c>
      <c r="W49" s="4" t="s">
        <v>175</v>
      </c>
      <c r="X49" s="4" t="s">
        <v>176</v>
      </c>
      <c r="Y49" s="4" t="s">
        <v>239</v>
      </c>
      <c r="Z49" s="4" t="s">
        <v>240</v>
      </c>
      <c r="AA49" s="4" t="s">
        <v>103</v>
      </c>
      <c r="AB49" s="4" t="s">
        <v>104</v>
      </c>
    </row>
    <row r="50" ht="15.75" customHeight="1">
      <c r="A50" s="4" t="s">
        <v>250</v>
      </c>
      <c r="B50" s="4" t="s">
        <v>251</v>
      </c>
      <c r="C50" s="4" t="str">
        <f>IFERROR(__xludf.DUMMYFUNCTION("GOOGLETRANSLATE(B50, ""RO"", ""EN"")"),"Nicolae Ceausescu")</f>
        <v>Nicolae Ceausescu</v>
      </c>
      <c r="D50" s="5" t="str">
        <f>IFERROR(__xludf.DUMMYFUNCTION("IF(O50&lt;&gt;"""", GOOGLETRANSLATE(O50, ""RO"", ""EN""), """")"),"Very stupid")</f>
        <v>Very stupid</v>
      </c>
      <c r="E50" s="6" t="str">
        <f>IFERROR(__xludf.DUMMYFUNCTION("IF(P50&lt;&gt;"""", GOOGLETRANSLATE(P50, ""RO"", ""EN""), """")"),"1")</f>
        <v>1</v>
      </c>
      <c r="F50" s="5" t="str">
        <f>IFERROR(__xludf.DUMMYFUNCTION("IF(Q50&lt;&gt;"""", GOOGLETRANSLATE(Q50, ""RO"", ""EN""), """")"),"2")</f>
        <v>2</v>
      </c>
      <c r="G50" s="5" t="str">
        <f>IFERROR(__xludf.DUMMYFUNCTION("IF(R50&lt;&gt;"""", GOOGLETRANSLATE(R50, ""RO"", ""EN""), """")"),"3")</f>
        <v>3</v>
      </c>
      <c r="H50" s="5" t="str">
        <f>IFERROR(__xludf.DUMMYFUNCTION("IF(U50&lt;&gt;"""", GOOGLETRANSLATE(U50, ""RO"", ""EN""), """")"),"4")</f>
        <v>4</v>
      </c>
      <c r="I50" s="5" t="str">
        <f>IFERROR(__xludf.DUMMYFUNCTION("IF(V50&lt;&gt;"""", GOOGLETRANSLATE(V50, ""RO"", ""EN""), """")"),"5")</f>
        <v>5</v>
      </c>
      <c r="J50" s="5" t="str">
        <f>IFERROR(__xludf.DUMMYFUNCTION("IF(W50&lt;&gt;"""", GOOGLETRANSLATE(W50, ""RO"", ""EN""), """")"),"6")</f>
        <v>6</v>
      </c>
      <c r="K50" s="5" t="str">
        <f>IFERROR(__xludf.DUMMYFUNCTION("IF(X50&lt;&gt;"""", GOOGLETRANSLATE(X50, ""RO"", ""EN""), """")"),"7")</f>
        <v>7</v>
      </c>
      <c r="L50" s="5" t="str">
        <f>IFERROR(__xludf.DUMMYFUNCTION("IF(S50&lt;&gt;"""", GOOGLETRANSLATE(S50, ""RO"", ""EN""), """")"),"8")</f>
        <v>8</v>
      </c>
      <c r="M50" s="5" t="str">
        <f>IFERROR(__xludf.DUMMYFUNCTION("IF(T50&lt;&gt;"""", GOOGLETRANSLATE(T50, ""RO"", ""EN""), """")"),"9")</f>
        <v>9</v>
      </c>
      <c r="N50" s="5" t="str">
        <f>IFERROR(__xludf.DUMMYFUNCTION("IF(Y50&lt;&gt;"""", GOOGLETRANSLATE(Y50, ""RO"", ""EN""), """")"),"Very good")</f>
        <v>Very good</v>
      </c>
      <c r="O50" s="4" t="s">
        <v>238</v>
      </c>
      <c r="P50" s="4" t="s">
        <v>168</v>
      </c>
      <c r="Q50" s="4" t="s">
        <v>169</v>
      </c>
      <c r="R50" s="4" t="s">
        <v>170</v>
      </c>
      <c r="S50" s="4" t="s">
        <v>171</v>
      </c>
      <c r="T50" s="4" t="s">
        <v>172</v>
      </c>
      <c r="U50" s="4" t="s">
        <v>173</v>
      </c>
      <c r="V50" s="4" t="s">
        <v>174</v>
      </c>
      <c r="W50" s="4" t="s">
        <v>175</v>
      </c>
      <c r="X50" s="4" t="s">
        <v>176</v>
      </c>
      <c r="Y50" s="4" t="s">
        <v>239</v>
      </c>
      <c r="Z50" s="4" t="s">
        <v>240</v>
      </c>
      <c r="AA50" s="4" t="s">
        <v>103</v>
      </c>
      <c r="AB50" s="4" t="s">
        <v>104</v>
      </c>
    </row>
    <row r="51" ht="15.75" customHeight="1">
      <c r="A51" s="4" t="s">
        <v>252</v>
      </c>
      <c r="B51" s="4" t="s">
        <v>253</v>
      </c>
      <c r="C51" s="4" t="str">
        <f>IFERROR(__xludf.DUMMYFUNCTION("GOOGLETRANSLATE(B51, ""RO"", ""EN"")"),"How interested are you ...? ... Politics, in general")</f>
        <v>How interested are you ...? ... Politics, in general</v>
      </c>
      <c r="D51" s="5" t="str">
        <f>IFERROR(__xludf.DUMMYFUNCTION("IF(O51&lt;&gt;"""", GOOGLETRANSLATE(O51, ""RO"", ""EN""), """")"),"Not at all interested")</f>
        <v>Not at all interested</v>
      </c>
      <c r="E51" s="6" t="str">
        <f>IFERROR(__xludf.DUMMYFUNCTION("IF(P51&lt;&gt;"""", GOOGLETRANSLATE(P51, ""RO"", ""EN""), """")"),"Little interested")</f>
        <v>Little interested</v>
      </c>
      <c r="F51" s="5" t="str">
        <f>IFERROR(__xludf.DUMMYFUNCTION("IF(Q51&lt;&gt;"""", GOOGLETRANSLATE(Q51, ""RO"", ""EN""), """")"),"Quite interested")</f>
        <v>Quite interested</v>
      </c>
      <c r="G51" s="5" t="str">
        <f>IFERROR(__xludf.DUMMYFUNCTION("IF(R51&lt;&gt;"""", GOOGLETRANSLATE(R51, ""RO"", ""EN""), """")"),"Very interested")</f>
        <v>Very interested</v>
      </c>
      <c r="H51" s="5" t="str">
        <f>IFERROR(__xludf.DUMMYFUNCTION("IF(U51&lt;&gt;"""", GOOGLETRANSLATE(U51, ""RO"", ""EN""), """")"),"")</f>
        <v/>
      </c>
      <c r="I51" s="5" t="str">
        <f>IFERROR(__xludf.DUMMYFUNCTION("IF(V51&lt;&gt;"""", GOOGLETRANSLATE(V51, ""RO"", ""EN""), """")"),"")</f>
        <v/>
      </c>
      <c r="J51" s="5" t="str">
        <f>IFERROR(__xludf.DUMMYFUNCTION("IF(W51&lt;&gt;"""", GOOGLETRANSLATE(W51, ""RO"", ""EN""), """")"),"")</f>
        <v/>
      </c>
      <c r="K51" s="5" t="str">
        <f>IFERROR(__xludf.DUMMYFUNCTION("IF(X51&lt;&gt;"""", GOOGLETRANSLATE(X51, ""RO"", ""EN""), """")"),"")</f>
        <v/>
      </c>
      <c r="L51" s="5" t="str">
        <f>IFERROR(__xludf.DUMMYFUNCTION("IF(S51&lt;&gt;"""", GOOGLETRANSLATE(S51, ""RO"", ""EN""), """")"),"Ns")</f>
        <v>Ns</v>
      </c>
      <c r="M51" s="5" t="str">
        <f>IFERROR(__xludf.DUMMYFUNCTION("IF(T51&lt;&gt;"""", GOOGLETRANSLATE(T51, ""RO"", ""EN""), """")"),"No.")</f>
        <v>No.</v>
      </c>
      <c r="N51" s="5" t="str">
        <f>IFERROR(__xludf.DUMMYFUNCTION("IF(Y51&lt;&gt;"""", GOOGLETRANSLATE(Y51, ""RO"", ""EN""), """")"),"")</f>
        <v/>
      </c>
      <c r="O51" s="4" t="s">
        <v>254</v>
      </c>
      <c r="P51" s="4" t="s">
        <v>255</v>
      </c>
      <c r="Q51" s="4" t="s">
        <v>256</v>
      </c>
      <c r="R51" s="4" t="s">
        <v>257</v>
      </c>
      <c r="S51" s="4" t="s">
        <v>103</v>
      </c>
      <c r="T51" s="4" t="s">
        <v>104</v>
      </c>
    </row>
    <row r="52" ht="15.75" customHeight="1">
      <c r="A52" s="4" t="s">
        <v>258</v>
      </c>
      <c r="B52" s="4" t="s">
        <v>259</v>
      </c>
      <c r="C52" s="4" t="str">
        <f>IFERROR(__xludf.DUMMYFUNCTION("GOOGLETRANSLATE(B52, ""RO"", ""EN"")"),"... Politics at local level, from your locality.")</f>
        <v>... Politics at local level, from your locality.</v>
      </c>
      <c r="D52" s="5" t="str">
        <f>IFERROR(__xludf.DUMMYFUNCTION("IF(O52&lt;&gt;"""", GOOGLETRANSLATE(O52, ""RO"", ""EN""), """")"),"Not at all interested")</f>
        <v>Not at all interested</v>
      </c>
      <c r="E52" s="6" t="str">
        <f>IFERROR(__xludf.DUMMYFUNCTION("IF(P52&lt;&gt;"""", GOOGLETRANSLATE(P52, ""RO"", ""EN""), """")"),"Little interested")</f>
        <v>Little interested</v>
      </c>
      <c r="F52" s="5" t="str">
        <f>IFERROR(__xludf.DUMMYFUNCTION("IF(Q52&lt;&gt;"""", GOOGLETRANSLATE(Q52, ""RO"", ""EN""), """")"),"Quite interested")</f>
        <v>Quite interested</v>
      </c>
      <c r="G52" s="5" t="str">
        <f>IFERROR(__xludf.DUMMYFUNCTION("IF(R52&lt;&gt;"""", GOOGLETRANSLATE(R52, ""RO"", ""EN""), """")"),"Very interested")</f>
        <v>Very interested</v>
      </c>
      <c r="H52" s="5" t="str">
        <f>IFERROR(__xludf.DUMMYFUNCTION("IF(U52&lt;&gt;"""", GOOGLETRANSLATE(U52, ""RO"", ""EN""), """")"),"")</f>
        <v/>
      </c>
      <c r="I52" s="5" t="str">
        <f>IFERROR(__xludf.DUMMYFUNCTION("IF(V52&lt;&gt;"""", GOOGLETRANSLATE(V52, ""RO"", ""EN""), """")"),"")</f>
        <v/>
      </c>
      <c r="J52" s="5" t="str">
        <f>IFERROR(__xludf.DUMMYFUNCTION("IF(W52&lt;&gt;"""", GOOGLETRANSLATE(W52, ""RO"", ""EN""), """")"),"")</f>
        <v/>
      </c>
      <c r="K52" s="5" t="str">
        <f>IFERROR(__xludf.DUMMYFUNCTION("IF(X52&lt;&gt;"""", GOOGLETRANSLATE(X52, ""RO"", ""EN""), """")"),"")</f>
        <v/>
      </c>
      <c r="L52" s="5" t="str">
        <f>IFERROR(__xludf.DUMMYFUNCTION("IF(S52&lt;&gt;"""", GOOGLETRANSLATE(S52, ""RO"", ""EN""), """")"),"Ns")</f>
        <v>Ns</v>
      </c>
      <c r="M52" s="5" t="str">
        <f>IFERROR(__xludf.DUMMYFUNCTION("IF(T52&lt;&gt;"""", GOOGLETRANSLATE(T52, ""RO"", ""EN""), """")"),"No.")</f>
        <v>No.</v>
      </c>
      <c r="N52" s="5" t="str">
        <f>IFERROR(__xludf.DUMMYFUNCTION("IF(Y52&lt;&gt;"""", GOOGLETRANSLATE(Y52, ""RO"", ""EN""), """")"),"")</f>
        <v/>
      </c>
      <c r="O52" s="4" t="s">
        <v>254</v>
      </c>
      <c r="P52" s="4" t="s">
        <v>255</v>
      </c>
      <c r="Q52" s="4" t="s">
        <v>256</v>
      </c>
      <c r="R52" s="4" t="s">
        <v>257</v>
      </c>
      <c r="S52" s="4" t="s">
        <v>103</v>
      </c>
      <c r="T52" s="4" t="s">
        <v>104</v>
      </c>
    </row>
    <row r="53" ht="15.75" customHeight="1">
      <c r="A53" s="4" t="s">
        <v>260</v>
      </c>
      <c r="B53" s="4" t="s">
        <v>261</v>
      </c>
      <c r="C53" s="4" t="str">
        <f>IFERROR(__xludf.DUMMYFUNCTION("GOOGLETRANSLATE(B53, ""RO"", ""EN"")"),"... National Politics in Romania")</f>
        <v>... National Politics in Romania</v>
      </c>
      <c r="D53" s="5" t="str">
        <f>IFERROR(__xludf.DUMMYFUNCTION("IF(O53&lt;&gt;"""", GOOGLETRANSLATE(O53, ""RO"", ""EN""), """")"),"Not at all interested")</f>
        <v>Not at all interested</v>
      </c>
      <c r="E53" s="6" t="str">
        <f>IFERROR(__xludf.DUMMYFUNCTION("IF(P53&lt;&gt;"""", GOOGLETRANSLATE(P53, ""RO"", ""EN""), """")"),"Little interested")</f>
        <v>Little interested</v>
      </c>
      <c r="F53" s="5" t="str">
        <f>IFERROR(__xludf.DUMMYFUNCTION("IF(Q53&lt;&gt;"""", GOOGLETRANSLATE(Q53, ""RO"", ""EN""), """")"),"Quite interested")</f>
        <v>Quite interested</v>
      </c>
      <c r="G53" s="5" t="str">
        <f>IFERROR(__xludf.DUMMYFUNCTION("IF(R53&lt;&gt;"""", GOOGLETRANSLATE(R53, ""RO"", ""EN""), """")"),"Very interested")</f>
        <v>Very interested</v>
      </c>
      <c r="H53" s="5" t="str">
        <f>IFERROR(__xludf.DUMMYFUNCTION("IF(U53&lt;&gt;"""", GOOGLETRANSLATE(U53, ""RO"", ""EN""), """")"),"")</f>
        <v/>
      </c>
      <c r="I53" s="5" t="str">
        <f>IFERROR(__xludf.DUMMYFUNCTION("IF(V53&lt;&gt;"""", GOOGLETRANSLATE(V53, ""RO"", ""EN""), """")"),"")</f>
        <v/>
      </c>
      <c r="J53" s="5" t="str">
        <f>IFERROR(__xludf.DUMMYFUNCTION("IF(W53&lt;&gt;"""", GOOGLETRANSLATE(W53, ""RO"", ""EN""), """")"),"")</f>
        <v/>
      </c>
      <c r="K53" s="5" t="str">
        <f>IFERROR(__xludf.DUMMYFUNCTION("IF(X53&lt;&gt;"""", GOOGLETRANSLATE(X53, ""RO"", ""EN""), """")"),"")</f>
        <v/>
      </c>
      <c r="L53" s="5" t="str">
        <f>IFERROR(__xludf.DUMMYFUNCTION("IF(S53&lt;&gt;"""", GOOGLETRANSLATE(S53, ""RO"", ""EN""), """")"),"Ns")</f>
        <v>Ns</v>
      </c>
      <c r="M53" s="5" t="str">
        <f>IFERROR(__xludf.DUMMYFUNCTION("IF(T53&lt;&gt;"""", GOOGLETRANSLATE(T53, ""RO"", ""EN""), """")"),"No.")</f>
        <v>No.</v>
      </c>
      <c r="N53" s="5" t="str">
        <f>IFERROR(__xludf.DUMMYFUNCTION("IF(Y53&lt;&gt;"""", GOOGLETRANSLATE(Y53, ""RO"", ""EN""), """")"),"")</f>
        <v/>
      </c>
      <c r="O53" s="4" t="s">
        <v>254</v>
      </c>
      <c r="P53" s="4" t="s">
        <v>255</v>
      </c>
      <c r="Q53" s="4" t="s">
        <v>256</v>
      </c>
      <c r="R53" s="4" t="s">
        <v>257</v>
      </c>
      <c r="S53" s="4" t="s">
        <v>103</v>
      </c>
      <c r="T53" s="4" t="s">
        <v>104</v>
      </c>
    </row>
    <row r="54" ht="15.75" customHeight="1">
      <c r="A54" s="4" t="s">
        <v>262</v>
      </c>
      <c r="B54" s="4" t="s">
        <v>263</v>
      </c>
      <c r="C54" s="4" t="str">
        <f>IFERROR(__xludf.DUMMYFUNCTION("GOOGLETRANSLATE(B54, ""RO"", ""EN"")"),"... European level policy in the EU")</f>
        <v>... European level policy in the EU</v>
      </c>
      <c r="D54" s="5" t="str">
        <f>IFERROR(__xludf.DUMMYFUNCTION("IF(O54&lt;&gt;"""", GOOGLETRANSLATE(O54, ""RO"", ""EN""), """")"),"Not at all interested")</f>
        <v>Not at all interested</v>
      </c>
      <c r="E54" s="6" t="str">
        <f>IFERROR(__xludf.DUMMYFUNCTION("IF(P54&lt;&gt;"""", GOOGLETRANSLATE(P54, ""RO"", ""EN""), """")"),"Little interested")</f>
        <v>Little interested</v>
      </c>
      <c r="F54" s="5" t="str">
        <f>IFERROR(__xludf.DUMMYFUNCTION("IF(Q54&lt;&gt;"""", GOOGLETRANSLATE(Q54, ""RO"", ""EN""), """")"),"Quite interested")</f>
        <v>Quite interested</v>
      </c>
      <c r="G54" s="5" t="str">
        <f>IFERROR(__xludf.DUMMYFUNCTION("IF(R54&lt;&gt;"""", GOOGLETRANSLATE(R54, ""RO"", ""EN""), """")"),"Very interested")</f>
        <v>Very interested</v>
      </c>
      <c r="H54" s="5" t="str">
        <f>IFERROR(__xludf.DUMMYFUNCTION("IF(U54&lt;&gt;"""", GOOGLETRANSLATE(U54, ""RO"", ""EN""), """")"),"")</f>
        <v/>
      </c>
      <c r="I54" s="5" t="str">
        <f>IFERROR(__xludf.DUMMYFUNCTION("IF(V54&lt;&gt;"""", GOOGLETRANSLATE(V54, ""RO"", ""EN""), """")"),"")</f>
        <v/>
      </c>
      <c r="J54" s="5" t="str">
        <f>IFERROR(__xludf.DUMMYFUNCTION("IF(W54&lt;&gt;"""", GOOGLETRANSLATE(W54, ""RO"", ""EN""), """")"),"")</f>
        <v/>
      </c>
      <c r="K54" s="5" t="str">
        <f>IFERROR(__xludf.DUMMYFUNCTION("IF(X54&lt;&gt;"""", GOOGLETRANSLATE(X54, ""RO"", ""EN""), """")"),"")</f>
        <v/>
      </c>
      <c r="L54" s="5" t="str">
        <f>IFERROR(__xludf.DUMMYFUNCTION("IF(S54&lt;&gt;"""", GOOGLETRANSLATE(S54, ""RO"", ""EN""), """")"),"Ns")</f>
        <v>Ns</v>
      </c>
      <c r="M54" s="5" t="str">
        <f>IFERROR(__xludf.DUMMYFUNCTION("IF(T54&lt;&gt;"""", GOOGLETRANSLATE(T54, ""RO"", ""EN""), """")"),"No.")</f>
        <v>No.</v>
      </c>
      <c r="N54" s="5" t="str">
        <f>IFERROR(__xludf.DUMMYFUNCTION("IF(Y54&lt;&gt;"""", GOOGLETRANSLATE(Y54, ""RO"", ""EN""), """")"),"")</f>
        <v/>
      </c>
      <c r="O54" s="4" t="s">
        <v>254</v>
      </c>
      <c r="P54" s="4" t="s">
        <v>255</v>
      </c>
      <c r="Q54" s="4" t="s">
        <v>256</v>
      </c>
      <c r="R54" s="4" t="s">
        <v>257</v>
      </c>
      <c r="S54" s="4" t="s">
        <v>103</v>
      </c>
      <c r="T54" s="4" t="s">
        <v>104</v>
      </c>
    </row>
    <row r="55" ht="15.75" customHeight="1">
      <c r="A55" s="4" t="s">
        <v>264</v>
      </c>
      <c r="B55" s="4" t="s">
        <v>265</v>
      </c>
      <c r="C55" s="4" t="str">
        <f>IFERROR(__xludf.DUMMYFUNCTION("GOOGLETRANSLATE(B55, ""RO"", ""EN"")"),"... Presidential elections of November 22, 2009")</f>
        <v>... Presidential elections of November 22, 2009</v>
      </c>
      <c r="D55" s="5" t="str">
        <f>IFERROR(__xludf.DUMMYFUNCTION("IF(O55&lt;&gt;"""", GOOGLETRANSLATE(O55, ""RO"", ""EN""), """")"),"Not at all interested")</f>
        <v>Not at all interested</v>
      </c>
      <c r="E55" s="6" t="str">
        <f>IFERROR(__xludf.DUMMYFUNCTION("IF(P55&lt;&gt;"""", GOOGLETRANSLATE(P55, ""RO"", ""EN""), """")"),"Little interested")</f>
        <v>Little interested</v>
      </c>
      <c r="F55" s="5" t="str">
        <f>IFERROR(__xludf.DUMMYFUNCTION("IF(Q55&lt;&gt;"""", GOOGLETRANSLATE(Q55, ""RO"", ""EN""), """")"),"Quite interested")</f>
        <v>Quite interested</v>
      </c>
      <c r="G55" s="5" t="str">
        <f>IFERROR(__xludf.DUMMYFUNCTION("IF(R55&lt;&gt;"""", GOOGLETRANSLATE(R55, ""RO"", ""EN""), """")"),"Very interested")</f>
        <v>Very interested</v>
      </c>
      <c r="H55" s="5" t="str">
        <f>IFERROR(__xludf.DUMMYFUNCTION("IF(U55&lt;&gt;"""", GOOGLETRANSLATE(U55, ""RO"", ""EN""), """")"),"")</f>
        <v/>
      </c>
      <c r="I55" s="5" t="str">
        <f>IFERROR(__xludf.DUMMYFUNCTION("IF(V55&lt;&gt;"""", GOOGLETRANSLATE(V55, ""RO"", ""EN""), """")"),"")</f>
        <v/>
      </c>
      <c r="J55" s="5" t="str">
        <f>IFERROR(__xludf.DUMMYFUNCTION("IF(W55&lt;&gt;"""", GOOGLETRANSLATE(W55, ""RO"", ""EN""), """")"),"")</f>
        <v/>
      </c>
      <c r="K55" s="5" t="str">
        <f>IFERROR(__xludf.DUMMYFUNCTION("IF(X55&lt;&gt;"""", GOOGLETRANSLATE(X55, ""RO"", ""EN""), """")"),"")</f>
        <v/>
      </c>
      <c r="L55" s="5" t="str">
        <f>IFERROR(__xludf.DUMMYFUNCTION("IF(S55&lt;&gt;"""", GOOGLETRANSLATE(S55, ""RO"", ""EN""), """")"),"Ns")</f>
        <v>Ns</v>
      </c>
      <c r="M55" s="5" t="str">
        <f>IFERROR(__xludf.DUMMYFUNCTION("IF(T55&lt;&gt;"""", GOOGLETRANSLATE(T55, ""RO"", ""EN""), """")"),"No.")</f>
        <v>No.</v>
      </c>
      <c r="N55" s="5" t="str">
        <f>IFERROR(__xludf.DUMMYFUNCTION("IF(Y55&lt;&gt;"""", GOOGLETRANSLATE(Y55, ""RO"", ""EN""), """")"),"")</f>
        <v/>
      </c>
      <c r="O55" s="4" t="s">
        <v>254</v>
      </c>
      <c r="P55" s="4" t="s">
        <v>255</v>
      </c>
      <c r="Q55" s="4" t="s">
        <v>256</v>
      </c>
      <c r="R55" s="4" t="s">
        <v>257</v>
      </c>
      <c r="S55" s="4" t="s">
        <v>103</v>
      </c>
      <c r="T55" s="4" t="s">
        <v>104</v>
      </c>
    </row>
    <row r="56" ht="15.75" customHeight="1">
      <c r="A56" s="4" t="s">
        <v>266</v>
      </c>
      <c r="B56" s="4" t="s">
        <v>267</v>
      </c>
      <c r="C56" s="4" t="str">
        <f>IFERROR(__xludf.DUMMYFUNCTION("GOOGLETRANSLATE(B56, ""RO"", ""EN"")"),"... Referendum of November 22, 2009")</f>
        <v>... Referendum of November 22, 2009</v>
      </c>
      <c r="D56" s="5" t="str">
        <f>IFERROR(__xludf.DUMMYFUNCTION("IF(O56&lt;&gt;"""", GOOGLETRANSLATE(O56, ""RO"", ""EN""), """")"),"Not at all interested")</f>
        <v>Not at all interested</v>
      </c>
      <c r="E56" s="6" t="str">
        <f>IFERROR(__xludf.DUMMYFUNCTION("IF(P56&lt;&gt;"""", GOOGLETRANSLATE(P56, ""RO"", ""EN""), """")"),"Little interested")</f>
        <v>Little interested</v>
      </c>
      <c r="F56" s="5" t="str">
        <f>IFERROR(__xludf.DUMMYFUNCTION("IF(Q56&lt;&gt;"""", GOOGLETRANSLATE(Q56, ""RO"", ""EN""), """")"),"Quite interested")</f>
        <v>Quite interested</v>
      </c>
      <c r="G56" s="5" t="str">
        <f>IFERROR(__xludf.DUMMYFUNCTION("IF(R56&lt;&gt;"""", GOOGLETRANSLATE(R56, ""RO"", ""EN""), """")"),"Very interested")</f>
        <v>Very interested</v>
      </c>
      <c r="H56" s="5" t="str">
        <f>IFERROR(__xludf.DUMMYFUNCTION("IF(U56&lt;&gt;"""", GOOGLETRANSLATE(U56, ""RO"", ""EN""), """")"),"")</f>
        <v/>
      </c>
      <c r="I56" s="5" t="str">
        <f>IFERROR(__xludf.DUMMYFUNCTION("IF(V56&lt;&gt;"""", GOOGLETRANSLATE(V56, ""RO"", ""EN""), """")"),"")</f>
        <v/>
      </c>
      <c r="J56" s="5" t="str">
        <f>IFERROR(__xludf.DUMMYFUNCTION("IF(W56&lt;&gt;"""", GOOGLETRANSLATE(W56, ""RO"", ""EN""), """")"),"")</f>
        <v/>
      </c>
      <c r="K56" s="5" t="str">
        <f>IFERROR(__xludf.DUMMYFUNCTION("IF(X56&lt;&gt;"""", GOOGLETRANSLATE(X56, ""RO"", ""EN""), """")"),"")</f>
        <v/>
      </c>
      <c r="L56" s="5" t="str">
        <f>IFERROR(__xludf.DUMMYFUNCTION("IF(S56&lt;&gt;"""", GOOGLETRANSLATE(S56, ""RO"", ""EN""), """")"),"Ns")</f>
        <v>Ns</v>
      </c>
      <c r="M56" s="5" t="str">
        <f>IFERROR(__xludf.DUMMYFUNCTION("IF(T56&lt;&gt;"""", GOOGLETRANSLATE(T56, ""RO"", ""EN""), """")"),"No.")</f>
        <v>No.</v>
      </c>
      <c r="N56" s="5" t="str">
        <f>IFERROR(__xludf.DUMMYFUNCTION("IF(Y56&lt;&gt;"""", GOOGLETRANSLATE(Y56, ""RO"", ""EN""), """")"),"")</f>
        <v/>
      </c>
      <c r="O56" s="4" t="s">
        <v>254</v>
      </c>
      <c r="P56" s="4" t="s">
        <v>255</v>
      </c>
      <c r="Q56" s="4" t="s">
        <v>256</v>
      </c>
      <c r="R56" s="4" t="s">
        <v>257</v>
      </c>
      <c r="S56" s="4" t="s">
        <v>103</v>
      </c>
      <c r="T56" s="4" t="s">
        <v>104</v>
      </c>
    </row>
    <row r="57" ht="15.75" customHeight="1">
      <c r="A57" s="4" t="s">
        <v>268</v>
      </c>
      <c r="B57" s="4" t="s">
        <v>269</v>
      </c>
      <c r="C57" s="4" t="str">
        <f>IFERROR(__xludf.DUMMYFUNCTION("GOOGLETRANSLATE(B57, ""RO"", ""EN"")"),"How many do you know, the following statements regarding the position of president of Romania are true or false? The President of Romania is elected for a period of 4 years")</f>
        <v>How many do you know, the following statements regarding the position of president of Romania are true or false? The President of Romania is elected for a period of 4 years</v>
      </c>
      <c r="D57" s="5" t="str">
        <f>IFERROR(__xludf.DUMMYFUNCTION("IF(O57&lt;&gt;"""", GOOGLETRANSLATE(O57, ""RO"", ""EN""), """")"),"")</f>
        <v/>
      </c>
      <c r="E57" s="6" t="str">
        <f>IFERROR(__xludf.DUMMYFUNCTION("IF(P57&lt;&gt;"""", GOOGLETRANSLATE(P57, ""RO"", ""EN""), """")"),"True")</f>
        <v>True</v>
      </c>
      <c r="F57" s="5" t="str">
        <f>IFERROR(__xludf.DUMMYFUNCTION("IF(Q57&lt;&gt;"""", GOOGLETRANSLATE(Q57, ""RO"", ""EN""), """")"),"Fake")</f>
        <v>Fake</v>
      </c>
      <c r="G57" s="5" t="str">
        <f>IFERROR(__xludf.DUMMYFUNCTION("IF(R57&lt;&gt;"""", GOOGLETRANSLATE(R57, ""RO"", ""EN""), """")"),"")</f>
        <v/>
      </c>
      <c r="H57" s="5" t="str">
        <f>IFERROR(__xludf.DUMMYFUNCTION("IF(U57&lt;&gt;"""", GOOGLETRANSLATE(U57, ""RO"", ""EN""), """")"),"")</f>
        <v/>
      </c>
      <c r="I57" s="5" t="str">
        <f>IFERROR(__xludf.DUMMYFUNCTION("IF(V57&lt;&gt;"""", GOOGLETRANSLATE(V57, ""RO"", ""EN""), """")"),"")</f>
        <v/>
      </c>
      <c r="J57" s="5" t="str">
        <f>IFERROR(__xludf.DUMMYFUNCTION("IF(W57&lt;&gt;"""", GOOGLETRANSLATE(W57, ""RO"", ""EN""), """")"),"")</f>
        <v/>
      </c>
      <c r="K57" s="5" t="str">
        <f>IFERROR(__xludf.DUMMYFUNCTION("IF(X57&lt;&gt;"""", GOOGLETRANSLATE(X57, ""RO"", ""EN""), """")"),"")</f>
        <v/>
      </c>
      <c r="L57" s="5" t="str">
        <f>IFERROR(__xludf.DUMMYFUNCTION("IF(S57&lt;&gt;"""", GOOGLETRANSLATE(S57, ""RO"", ""EN""), """")"),"Ns")</f>
        <v>Ns</v>
      </c>
      <c r="M57" s="5" t="str">
        <f>IFERROR(__xludf.DUMMYFUNCTION("IF(T57&lt;&gt;"""", GOOGLETRANSLATE(T57, ""RO"", ""EN""), """")"),"No.")</f>
        <v>No.</v>
      </c>
      <c r="N57" s="5" t="str">
        <f>IFERROR(__xludf.DUMMYFUNCTION("IF(Y57&lt;&gt;"""", GOOGLETRANSLATE(Y57, ""RO"", ""EN""), """")"),"")</f>
        <v/>
      </c>
      <c r="P57" s="4" t="s">
        <v>270</v>
      </c>
      <c r="Q57" s="4" t="s">
        <v>271</v>
      </c>
      <c r="S57" s="4" t="s">
        <v>103</v>
      </c>
      <c r="T57" s="4" t="s">
        <v>104</v>
      </c>
    </row>
    <row r="58" ht="15.75" customHeight="1">
      <c r="A58" s="4" t="s">
        <v>272</v>
      </c>
      <c r="B58" s="4" t="s">
        <v>273</v>
      </c>
      <c r="C58" s="4" t="str">
        <f>IFERROR(__xludf.DUMMYFUNCTION("GOOGLETRANSLATE(B58, ""RO"", ""EN"")"),"A person can be president of Romania only two mandates")</f>
        <v>A person can be president of Romania only two mandates</v>
      </c>
      <c r="D58" s="5" t="str">
        <f>IFERROR(__xludf.DUMMYFUNCTION("IF(O58&lt;&gt;"""", GOOGLETRANSLATE(O58, ""RO"", ""EN""), """")"),"")</f>
        <v/>
      </c>
      <c r="E58" s="6" t="str">
        <f>IFERROR(__xludf.DUMMYFUNCTION("IF(P58&lt;&gt;"""", GOOGLETRANSLATE(P58, ""RO"", ""EN""), """")"),"True")</f>
        <v>True</v>
      </c>
      <c r="F58" s="5" t="str">
        <f>IFERROR(__xludf.DUMMYFUNCTION("IF(Q58&lt;&gt;"""", GOOGLETRANSLATE(Q58, ""RO"", ""EN""), """")"),"Fake")</f>
        <v>Fake</v>
      </c>
      <c r="G58" s="5" t="str">
        <f>IFERROR(__xludf.DUMMYFUNCTION("IF(R58&lt;&gt;"""", GOOGLETRANSLATE(R58, ""RO"", ""EN""), """")"),"")</f>
        <v/>
      </c>
      <c r="H58" s="5" t="str">
        <f>IFERROR(__xludf.DUMMYFUNCTION("IF(U58&lt;&gt;"""", GOOGLETRANSLATE(U58, ""RO"", ""EN""), """")"),"")</f>
        <v/>
      </c>
      <c r="I58" s="5" t="str">
        <f>IFERROR(__xludf.DUMMYFUNCTION("IF(V58&lt;&gt;"""", GOOGLETRANSLATE(V58, ""RO"", ""EN""), """")"),"")</f>
        <v/>
      </c>
      <c r="J58" s="5" t="str">
        <f>IFERROR(__xludf.DUMMYFUNCTION("IF(W58&lt;&gt;"""", GOOGLETRANSLATE(W58, ""RO"", ""EN""), """")"),"")</f>
        <v/>
      </c>
      <c r="K58" s="5" t="str">
        <f>IFERROR(__xludf.DUMMYFUNCTION("IF(X58&lt;&gt;"""", GOOGLETRANSLATE(X58, ""RO"", ""EN""), """")"),"")</f>
        <v/>
      </c>
      <c r="L58" s="5" t="str">
        <f>IFERROR(__xludf.DUMMYFUNCTION("IF(S58&lt;&gt;"""", GOOGLETRANSLATE(S58, ""RO"", ""EN""), """")"),"Ns")</f>
        <v>Ns</v>
      </c>
      <c r="M58" s="5" t="str">
        <f>IFERROR(__xludf.DUMMYFUNCTION("IF(T58&lt;&gt;"""", GOOGLETRANSLATE(T58, ""RO"", ""EN""), """")"),"No.")</f>
        <v>No.</v>
      </c>
      <c r="N58" s="5" t="str">
        <f>IFERROR(__xludf.DUMMYFUNCTION("IF(Y58&lt;&gt;"""", GOOGLETRANSLATE(Y58, ""RO"", ""EN""), """")"),"")</f>
        <v/>
      </c>
      <c r="P58" s="4" t="s">
        <v>270</v>
      </c>
      <c r="Q58" s="4" t="s">
        <v>271</v>
      </c>
      <c r="S58" s="4" t="s">
        <v>103</v>
      </c>
      <c r="T58" s="4" t="s">
        <v>104</v>
      </c>
    </row>
    <row r="59" ht="15.75" customHeight="1">
      <c r="A59" s="4" t="s">
        <v>274</v>
      </c>
      <c r="B59" s="4" t="s">
        <v>275</v>
      </c>
      <c r="C59" s="4" t="str">
        <f>IFERROR(__xludf.DUMMYFUNCTION("GOOGLETRANSLATE(B59, ""RO"", ""EN"")"),"According to the Constitution, the ministers of a government are chosen by the president")</f>
        <v>According to the Constitution, the ministers of a government are chosen by the president</v>
      </c>
      <c r="D59" s="5" t="str">
        <f>IFERROR(__xludf.DUMMYFUNCTION("IF(O59&lt;&gt;"""", GOOGLETRANSLATE(O59, ""RO"", ""EN""), """")"),"")</f>
        <v/>
      </c>
      <c r="E59" s="6" t="str">
        <f>IFERROR(__xludf.DUMMYFUNCTION("IF(P59&lt;&gt;"""", GOOGLETRANSLATE(P59, ""RO"", ""EN""), """")"),"True")</f>
        <v>True</v>
      </c>
      <c r="F59" s="5" t="str">
        <f>IFERROR(__xludf.DUMMYFUNCTION("IF(Q59&lt;&gt;"""", GOOGLETRANSLATE(Q59, ""RO"", ""EN""), """")"),"Fake")</f>
        <v>Fake</v>
      </c>
      <c r="G59" s="5" t="str">
        <f>IFERROR(__xludf.DUMMYFUNCTION("IF(R59&lt;&gt;"""", GOOGLETRANSLATE(R59, ""RO"", ""EN""), """")"),"")</f>
        <v/>
      </c>
      <c r="H59" s="5" t="str">
        <f>IFERROR(__xludf.DUMMYFUNCTION("IF(U59&lt;&gt;"""", GOOGLETRANSLATE(U59, ""RO"", ""EN""), """")"),"")</f>
        <v/>
      </c>
      <c r="I59" s="5" t="str">
        <f>IFERROR(__xludf.DUMMYFUNCTION("IF(V59&lt;&gt;"""", GOOGLETRANSLATE(V59, ""RO"", ""EN""), """")"),"")</f>
        <v/>
      </c>
      <c r="J59" s="5" t="str">
        <f>IFERROR(__xludf.DUMMYFUNCTION("IF(W59&lt;&gt;"""", GOOGLETRANSLATE(W59, ""RO"", ""EN""), """")"),"")</f>
        <v/>
      </c>
      <c r="K59" s="5" t="str">
        <f>IFERROR(__xludf.DUMMYFUNCTION("IF(X59&lt;&gt;"""", GOOGLETRANSLATE(X59, ""RO"", ""EN""), """")"),"")</f>
        <v/>
      </c>
      <c r="L59" s="5" t="str">
        <f>IFERROR(__xludf.DUMMYFUNCTION("IF(S59&lt;&gt;"""", GOOGLETRANSLATE(S59, ""RO"", ""EN""), """")"),"Ns")</f>
        <v>Ns</v>
      </c>
      <c r="M59" s="5" t="str">
        <f>IFERROR(__xludf.DUMMYFUNCTION("IF(T59&lt;&gt;"""", GOOGLETRANSLATE(T59, ""RO"", ""EN""), """")"),"No.")</f>
        <v>No.</v>
      </c>
      <c r="N59" s="5" t="str">
        <f>IFERROR(__xludf.DUMMYFUNCTION("IF(Y59&lt;&gt;"""", GOOGLETRANSLATE(Y59, ""RO"", ""EN""), """")"),"")</f>
        <v/>
      </c>
      <c r="P59" s="4" t="s">
        <v>270</v>
      </c>
      <c r="Q59" s="4" t="s">
        <v>271</v>
      </c>
      <c r="S59" s="4" t="s">
        <v>103</v>
      </c>
      <c r="T59" s="4" t="s">
        <v>104</v>
      </c>
    </row>
    <row r="60" ht="15.75" customHeight="1">
      <c r="A60" s="4" t="s">
        <v>276</v>
      </c>
      <c r="B60" s="4" t="s">
        <v>277</v>
      </c>
      <c r="C60" s="4" t="str">
        <f>IFERROR(__xludf.DUMMYFUNCTION("GOOGLETRANSLATE(B60, ""RO"", ""EN"")"),"One of the President's roles is to represent Romania in external relations")</f>
        <v>One of the President's roles is to represent Romania in external relations</v>
      </c>
      <c r="D60" s="5" t="str">
        <f>IFERROR(__xludf.DUMMYFUNCTION("IF(O60&lt;&gt;"""", GOOGLETRANSLATE(O60, ""RO"", ""EN""), """")"),"")</f>
        <v/>
      </c>
      <c r="E60" s="6" t="str">
        <f>IFERROR(__xludf.DUMMYFUNCTION("IF(P60&lt;&gt;"""", GOOGLETRANSLATE(P60, ""RO"", ""EN""), """")"),"True")</f>
        <v>True</v>
      </c>
      <c r="F60" s="5" t="str">
        <f>IFERROR(__xludf.DUMMYFUNCTION("IF(Q60&lt;&gt;"""", GOOGLETRANSLATE(Q60, ""RO"", ""EN""), """")"),"Fake")</f>
        <v>Fake</v>
      </c>
      <c r="G60" s="5" t="str">
        <f>IFERROR(__xludf.DUMMYFUNCTION("IF(R60&lt;&gt;"""", GOOGLETRANSLATE(R60, ""RO"", ""EN""), """")"),"")</f>
        <v/>
      </c>
      <c r="H60" s="5" t="str">
        <f>IFERROR(__xludf.DUMMYFUNCTION("IF(U60&lt;&gt;"""", GOOGLETRANSLATE(U60, ""RO"", ""EN""), """")"),"")</f>
        <v/>
      </c>
      <c r="I60" s="5" t="str">
        <f>IFERROR(__xludf.DUMMYFUNCTION("IF(V60&lt;&gt;"""", GOOGLETRANSLATE(V60, ""RO"", ""EN""), """")"),"")</f>
        <v/>
      </c>
      <c r="J60" s="5" t="str">
        <f>IFERROR(__xludf.DUMMYFUNCTION("IF(W60&lt;&gt;"""", GOOGLETRANSLATE(W60, ""RO"", ""EN""), """")"),"")</f>
        <v/>
      </c>
      <c r="K60" s="5" t="str">
        <f>IFERROR(__xludf.DUMMYFUNCTION("IF(X60&lt;&gt;"""", GOOGLETRANSLATE(X60, ""RO"", ""EN""), """")"),"")</f>
        <v/>
      </c>
      <c r="L60" s="5" t="str">
        <f>IFERROR(__xludf.DUMMYFUNCTION("IF(S60&lt;&gt;"""", GOOGLETRANSLATE(S60, ""RO"", ""EN""), """")"),"Ns")</f>
        <v>Ns</v>
      </c>
      <c r="M60" s="5" t="str">
        <f>IFERROR(__xludf.DUMMYFUNCTION("IF(T60&lt;&gt;"""", GOOGLETRANSLATE(T60, ""RO"", ""EN""), """")"),"No.")</f>
        <v>No.</v>
      </c>
      <c r="N60" s="5" t="str">
        <f>IFERROR(__xludf.DUMMYFUNCTION("IF(Y60&lt;&gt;"""", GOOGLETRANSLATE(Y60, ""RO"", ""EN""), """")"),"")</f>
        <v/>
      </c>
      <c r="P60" s="4" t="s">
        <v>270</v>
      </c>
      <c r="Q60" s="4" t="s">
        <v>271</v>
      </c>
      <c r="S60" s="4" t="s">
        <v>103</v>
      </c>
      <c r="T60" s="4" t="s">
        <v>104</v>
      </c>
    </row>
    <row r="61" ht="15.75" customHeight="1">
      <c r="A61" s="4" t="s">
        <v>278</v>
      </c>
      <c r="B61" s="4" t="s">
        <v>279</v>
      </c>
      <c r="C61" s="4" t="str">
        <f>IFERROR(__xludf.DUMMYFUNCTION("GOOGLETRANSLATE(B61, ""RO"", ""EN"")"),"Under certain conditions, the president has the right to dissolve the Parliament")</f>
        <v>Under certain conditions, the president has the right to dissolve the Parliament</v>
      </c>
      <c r="D61" s="5" t="str">
        <f>IFERROR(__xludf.DUMMYFUNCTION("IF(O61&lt;&gt;"""", GOOGLETRANSLATE(O61, ""RO"", ""EN""), """")"),"")</f>
        <v/>
      </c>
      <c r="E61" s="6" t="str">
        <f>IFERROR(__xludf.DUMMYFUNCTION("IF(P61&lt;&gt;"""", GOOGLETRANSLATE(P61, ""RO"", ""EN""), """")"),"True")</f>
        <v>True</v>
      </c>
      <c r="F61" s="5" t="str">
        <f>IFERROR(__xludf.DUMMYFUNCTION("IF(Q61&lt;&gt;"""", GOOGLETRANSLATE(Q61, ""RO"", ""EN""), """")"),"Fake")</f>
        <v>Fake</v>
      </c>
      <c r="G61" s="5" t="str">
        <f>IFERROR(__xludf.DUMMYFUNCTION("IF(R61&lt;&gt;"""", GOOGLETRANSLATE(R61, ""RO"", ""EN""), """")"),"")</f>
        <v/>
      </c>
      <c r="H61" s="5" t="str">
        <f>IFERROR(__xludf.DUMMYFUNCTION("IF(U61&lt;&gt;"""", GOOGLETRANSLATE(U61, ""RO"", ""EN""), """")"),"")</f>
        <v/>
      </c>
      <c r="I61" s="5" t="str">
        <f>IFERROR(__xludf.DUMMYFUNCTION("IF(V61&lt;&gt;"""", GOOGLETRANSLATE(V61, ""RO"", ""EN""), """")"),"")</f>
        <v/>
      </c>
      <c r="J61" s="5" t="str">
        <f>IFERROR(__xludf.DUMMYFUNCTION("IF(W61&lt;&gt;"""", GOOGLETRANSLATE(W61, ""RO"", ""EN""), """")"),"")</f>
        <v/>
      </c>
      <c r="K61" s="5" t="str">
        <f>IFERROR(__xludf.DUMMYFUNCTION("IF(X61&lt;&gt;"""", GOOGLETRANSLATE(X61, ""RO"", ""EN""), """")"),"")</f>
        <v/>
      </c>
      <c r="L61" s="5" t="str">
        <f>IFERROR(__xludf.DUMMYFUNCTION("IF(S61&lt;&gt;"""", GOOGLETRANSLATE(S61, ""RO"", ""EN""), """")"),"Ns")</f>
        <v>Ns</v>
      </c>
      <c r="M61" s="5" t="str">
        <f>IFERROR(__xludf.DUMMYFUNCTION("IF(T61&lt;&gt;"""", GOOGLETRANSLATE(T61, ""RO"", ""EN""), """")"),"No.")</f>
        <v>No.</v>
      </c>
      <c r="N61" s="5" t="str">
        <f>IFERROR(__xludf.DUMMYFUNCTION("IF(Y61&lt;&gt;"""", GOOGLETRANSLATE(Y61, ""RO"", ""EN""), """")"),"")</f>
        <v/>
      </c>
      <c r="P61" s="4" t="s">
        <v>270</v>
      </c>
      <c r="Q61" s="4" t="s">
        <v>271</v>
      </c>
      <c r="S61" s="4" t="s">
        <v>103</v>
      </c>
      <c r="T61" s="4" t="s">
        <v>104</v>
      </c>
    </row>
    <row r="62" ht="15.75" customHeight="1">
      <c r="A62" s="4" t="s">
        <v>280</v>
      </c>
      <c r="B62" s="4" t="s">
        <v>281</v>
      </c>
      <c r="C62" s="4" t="str">
        <f>IFERROR(__xludf.DUMMYFUNCTION("GOOGLETRANSLATE(B62, ""RO"", ""EN"")"),"In a regular week in how many of the seven days you used to watch news (including on the Internet)?")</f>
        <v>In a regular week in how many of the seven days you used to watch news (including on the Internet)?</v>
      </c>
      <c r="D62" s="5" t="str">
        <f>IFERROR(__xludf.DUMMYFUNCTION("IF(O62&lt;&gt;"""", GOOGLETRANSLATE(O62, ""RO"", ""EN""), """")"),"Never")</f>
        <v>Never</v>
      </c>
      <c r="E62" s="6" t="str">
        <f>IFERROR(__xludf.DUMMYFUNCTION("IF(P62&lt;&gt;"""", GOOGLETRANSLATE(P62, ""RO"", ""EN""), """")"),"1 day")</f>
        <v>1 day</v>
      </c>
      <c r="F62" s="5" t="str">
        <f>IFERROR(__xludf.DUMMYFUNCTION("IF(Q62&lt;&gt;"""", GOOGLETRANSLATE(Q62, ""RO"", ""EN""), """")"),"2 days")</f>
        <v>2 days</v>
      </c>
      <c r="G62" s="5" t="str">
        <f>IFERROR(__xludf.DUMMYFUNCTION("IF(R62&lt;&gt;"""", GOOGLETRANSLATE(R62, ""RO"", ""EN""), """")"),"3 days")</f>
        <v>3 days</v>
      </c>
      <c r="H62" s="5" t="str">
        <f>IFERROR(__xludf.DUMMYFUNCTION("IF(U62&lt;&gt;"""", GOOGLETRANSLATE(U62, ""RO"", ""EN""), """")"),"4 days")</f>
        <v>4 days</v>
      </c>
      <c r="I62" s="5" t="str">
        <f>IFERROR(__xludf.DUMMYFUNCTION("IF(V62&lt;&gt;"""", GOOGLETRANSLATE(V62, ""RO"", ""EN""), """")"),"5 days")</f>
        <v>5 days</v>
      </c>
      <c r="J62" s="5" t="str">
        <f>IFERROR(__xludf.DUMMYFUNCTION("IF(W62&lt;&gt;"""", GOOGLETRANSLATE(W62, ""RO"", ""EN""), """")"),"6 days")</f>
        <v>6 days</v>
      </c>
      <c r="K62" s="5" t="str">
        <f>IFERROR(__xludf.DUMMYFUNCTION("IF(X62&lt;&gt;"""", GOOGLETRANSLATE(X62, ""RO"", ""EN""), """")"),"7 days")</f>
        <v>7 days</v>
      </c>
      <c r="L62" s="5" t="str">
        <f>IFERROR(__xludf.DUMMYFUNCTION("IF(S62&lt;&gt;"""", GOOGLETRANSLATE(S62, ""RO"", ""EN""), """")"),"Ns")</f>
        <v>Ns</v>
      </c>
      <c r="M62" s="5" t="str">
        <f>IFERROR(__xludf.DUMMYFUNCTION("IF(T62&lt;&gt;"""", GOOGLETRANSLATE(T62, ""RO"", ""EN""), """")"),"No.")</f>
        <v>No.</v>
      </c>
      <c r="N62" s="5" t="str">
        <f>IFERROR(__xludf.DUMMYFUNCTION("IF(Y62&lt;&gt;"""", GOOGLETRANSLATE(Y62, ""RO"", ""EN""), """")"),"")</f>
        <v/>
      </c>
      <c r="O62" s="4" t="s">
        <v>282</v>
      </c>
      <c r="P62" s="4" t="s">
        <v>283</v>
      </c>
      <c r="Q62" s="4" t="s">
        <v>284</v>
      </c>
      <c r="R62" s="4" t="s">
        <v>285</v>
      </c>
      <c r="S62" s="4" t="s">
        <v>103</v>
      </c>
      <c r="T62" s="4" t="s">
        <v>104</v>
      </c>
      <c r="U62" s="4" t="s">
        <v>286</v>
      </c>
      <c r="V62" s="4" t="s">
        <v>287</v>
      </c>
      <c r="W62" s="4" t="s">
        <v>288</v>
      </c>
      <c r="X62" s="4" t="s">
        <v>289</v>
      </c>
    </row>
    <row r="63" ht="15.75" customHeight="1">
      <c r="A63" s="4" t="s">
        <v>290</v>
      </c>
      <c r="B63" s="4" t="s">
        <v>291</v>
      </c>
      <c r="C63" s="4" t="str">
        <f>IFERROR(__xludf.DUMMYFUNCTION("GOOGLETRANSLATE(B63, ""RO"", ""EN"")"),"What TV station do you most often watch news?")</f>
        <v>What TV station do you most often watch news?</v>
      </c>
      <c r="D63" s="5" t="str">
        <f>IFERROR(__xludf.DUMMYFUNCTION("IF(O63&lt;&gt;"""", GOOGLETRANSLATE(O63, ""RO"", ""EN""), """")"),"")</f>
        <v/>
      </c>
      <c r="E63" s="6" t="str">
        <f>IFERROR(__xludf.DUMMYFUNCTION("IF(P63&lt;&gt;"""", GOOGLETRANSLATE(P63, ""RO"", ""EN""), """")"),"")</f>
        <v/>
      </c>
      <c r="F63" s="5" t="str">
        <f>IFERROR(__xludf.DUMMYFUNCTION("IF(Q63&lt;&gt;"""", GOOGLETRANSLATE(Q63, ""RO"", ""EN""), """")"),"")</f>
        <v/>
      </c>
      <c r="G63" s="5" t="str">
        <f>IFERROR(__xludf.DUMMYFUNCTION("IF(R63&lt;&gt;"""", GOOGLETRANSLATE(R63, ""RO"", ""EN""), """")"),"")</f>
        <v/>
      </c>
      <c r="H63" s="5" t="str">
        <f>IFERROR(__xludf.DUMMYFUNCTION("IF(U63&lt;&gt;"""", GOOGLETRANSLATE(U63, ""RO"", ""EN""), """")"),"")</f>
        <v/>
      </c>
      <c r="I63" s="5" t="str">
        <f>IFERROR(__xludf.DUMMYFUNCTION("IF(V63&lt;&gt;"""", GOOGLETRANSLATE(V63, ""RO"", ""EN""), """")"),"")</f>
        <v/>
      </c>
      <c r="J63" s="5" t="str">
        <f>IFERROR(__xludf.DUMMYFUNCTION("IF(W63&lt;&gt;"""", GOOGLETRANSLATE(W63, ""RO"", ""EN""), """")"),"")</f>
        <v/>
      </c>
      <c r="K63" s="5" t="str">
        <f>IFERROR(__xludf.DUMMYFUNCTION("IF(X63&lt;&gt;"""", GOOGLETRANSLATE(X63, ""RO"", ""EN""), """")"),"")</f>
        <v/>
      </c>
      <c r="L63" s="5" t="str">
        <f>IFERROR(__xludf.DUMMYFUNCTION("IF(S63&lt;&gt;"""", GOOGLETRANSLATE(S63, ""RO"", ""EN""), """")"),"")</f>
        <v/>
      </c>
      <c r="M63" s="5" t="str">
        <f>IFERROR(__xludf.DUMMYFUNCTION("IF(T63&lt;&gt;"""", GOOGLETRANSLATE(T63, ""RO"", ""EN""), """")"),"")</f>
        <v/>
      </c>
      <c r="N63" s="5" t="str">
        <f>IFERROR(__xludf.DUMMYFUNCTION("IF(Y63&lt;&gt;"""", GOOGLETRANSLATE(Y63, ""RO"", ""EN""), """")"),"")</f>
        <v/>
      </c>
    </row>
    <row r="64" ht="15.75" customHeight="1">
      <c r="A64" s="4" t="s">
        <v>292</v>
      </c>
      <c r="B64" s="4" t="s">
        <v>293</v>
      </c>
      <c r="C64" s="4" t="str">
        <f>IFERROR(__xludf.DUMMYFUNCTION("GOOGLETRANSLATE(B64, ""RO"", ""EN"")"),"In a regular week in how many of the seven days you are used to listening to radio news (including on the Internet)?")</f>
        <v>In a regular week in how many of the seven days you are used to listening to radio news (including on the Internet)?</v>
      </c>
      <c r="D64" s="5" t="str">
        <f>IFERROR(__xludf.DUMMYFUNCTION("IF(O64&lt;&gt;"""", GOOGLETRANSLATE(O64, ""RO"", ""EN""), """")"),"Never")</f>
        <v>Never</v>
      </c>
      <c r="E64" s="6" t="str">
        <f>IFERROR(__xludf.DUMMYFUNCTION("IF(P64&lt;&gt;"""", GOOGLETRANSLATE(P64, ""RO"", ""EN""), """")"),"1 day")</f>
        <v>1 day</v>
      </c>
      <c r="F64" s="5" t="str">
        <f>IFERROR(__xludf.DUMMYFUNCTION("IF(Q64&lt;&gt;"""", GOOGLETRANSLATE(Q64, ""RO"", ""EN""), """")"),"2 days")</f>
        <v>2 days</v>
      </c>
      <c r="G64" s="5" t="str">
        <f>IFERROR(__xludf.DUMMYFUNCTION("IF(R64&lt;&gt;"""", GOOGLETRANSLATE(R64, ""RO"", ""EN""), """")"),"3 days")</f>
        <v>3 days</v>
      </c>
      <c r="H64" s="5" t="str">
        <f>IFERROR(__xludf.DUMMYFUNCTION("IF(U64&lt;&gt;"""", GOOGLETRANSLATE(U64, ""RO"", ""EN""), """")"),"4 days")</f>
        <v>4 days</v>
      </c>
      <c r="I64" s="5" t="str">
        <f>IFERROR(__xludf.DUMMYFUNCTION("IF(V64&lt;&gt;"""", GOOGLETRANSLATE(V64, ""RO"", ""EN""), """")"),"5 days")</f>
        <v>5 days</v>
      </c>
      <c r="J64" s="5" t="str">
        <f>IFERROR(__xludf.DUMMYFUNCTION("IF(W64&lt;&gt;"""", GOOGLETRANSLATE(W64, ""RO"", ""EN""), """")"),"6 days")</f>
        <v>6 days</v>
      </c>
      <c r="K64" s="5" t="str">
        <f>IFERROR(__xludf.DUMMYFUNCTION("IF(X64&lt;&gt;"""", GOOGLETRANSLATE(X64, ""RO"", ""EN""), """")"),"7 days")</f>
        <v>7 days</v>
      </c>
      <c r="L64" s="5" t="str">
        <f>IFERROR(__xludf.DUMMYFUNCTION("IF(S64&lt;&gt;"""", GOOGLETRANSLATE(S64, ""RO"", ""EN""), """")"),"Ns")</f>
        <v>Ns</v>
      </c>
      <c r="M64" s="5" t="str">
        <f>IFERROR(__xludf.DUMMYFUNCTION("IF(T64&lt;&gt;"""", GOOGLETRANSLATE(T64, ""RO"", ""EN""), """")"),"No.")</f>
        <v>No.</v>
      </c>
      <c r="N64" s="5" t="str">
        <f>IFERROR(__xludf.DUMMYFUNCTION("IF(Y64&lt;&gt;"""", GOOGLETRANSLATE(Y64, ""RO"", ""EN""), """")"),"")</f>
        <v/>
      </c>
      <c r="O64" s="4" t="s">
        <v>282</v>
      </c>
      <c r="P64" s="4" t="s">
        <v>283</v>
      </c>
      <c r="Q64" s="4" t="s">
        <v>284</v>
      </c>
      <c r="R64" s="4" t="s">
        <v>285</v>
      </c>
      <c r="S64" s="4" t="s">
        <v>103</v>
      </c>
      <c r="T64" s="4" t="s">
        <v>104</v>
      </c>
      <c r="U64" s="4" t="s">
        <v>286</v>
      </c>
      <c r="V64" s="4" t="s">
        <v>287</v>
      </c>
      <c r="W64" s="4" t="s">
        <v>288</v>
      </c>
      <c r="X64" s="4" t="s">
        <v>289</v>
      </c>
    </row>
    <row r="65" ht="15.75" customHeight="1">
      <c r="A65" s="4" t="s">
        <v>294</v>
      </c>
      <c r="B65" s="4" t="s">
        <v>295</v>
      </c>
      <c r="C65" s="4" t="str">
        <f>IFERROR(__xludf.DUMMYFUNCTION("GOOGLETRANSLATE(B65, ""RO"", ""EN"")"),"Which radio station do you listen to the most often news?")</f>
        <v>Which radio station do you listen to the most often news?</v>
      </c>
      <c r="D65" s="5" t="str">
        <f>IFERROR(__xludf.DUMMYFUNCTION("IF(O65&lt;&gt;"""", GOOGLETRANSLATE(O65, ""RO"", ""EN""), """")"),"")</f>
        <v/>
      </c>
      <c r="E65" s="6" t="str">
        <f>IFERROR(__xludf.DUMMYFUNCTION("IF(P65&lt;&gt;"""", GOOGLETRANSLATE(P65, ""RO"", ""EN""), """")"),"")</f>
        <v/>
      </c>
      <c r="F65" s="5" t="str">
        <f>IFERROR(__xludf.DUMMYFUNCTION("IF(Q65&lt;&gt;"""", GOOGLETRANSLATE(Q65, ""RO"", ""EN""), """")"),"")</f>
        <v/>
      </c>
      <c r="G65" s="5" t="str">
        <f>IFERROR(__xludf.DUMMYFUNCTION("IF(R65&lt;&gt;"""", GOOGLETRANSLATE(R65, ""RO"", ""EN""), """")"),"")</f>
        <v/>
      </c>
      <c r="H65" s="5" t="str">
        <f>IFERROR(__xludf.DUMMYFUNCTION("IF(U65&lt;&gt;"""", GOOGLETRANSLATE(U65, ""RO"", ""EN""), """")"),"")</f>
        <v/>
      </c>
      <c r="I65" s="5" t="str">
        <f>IFERROR(__xludf.DUMMYFUNCTION("IF(V65&lt;&gt;"""", GOOGLETRANSLATE(V65, ""RO"", ""EN""), """")"),"")</f>
        <v/>
      </c>
      <c r="J65" s="5" t="str">
        <f>IFERROR(__xludf.DUMMYFUNCTION("IF(W65&lt;&gt;"""", GOOGLETRANSLATE(W65, ""RO"", ""EN""), """")"),"")</f>
        <v/>
      </c>
      <c r="K65" s="5" t="str">
        <f>IFERROR(__xludf.DUMMYFUNCTION("IF(X65&lt;&gt;"""", GOOGLETRANSLATE(X65, ""RO"", ""EN""), """")"),"")</f>
        <v/>
      </c>
      <c r="L65" s="5" t="str">
        <f>IFERROR(__xludf.DUMMYFUNCTION("IF(S65&lt;&gt;"""", GOOGLETRANSLATE(S65, ""RO"", ""EN""), """")"),"")</f>
        <v/>
      </c>
      <c r="M65" s="5" t="str">
        <f>IFERROR(__xludf.DUMMYFUNCTION("IF(T65&lt;&gt;"""", GOOGLETRANSLATE(T65, ""RO"", ""EN""), """")"),"")</f>
        <v/>
      </c>
      <c r="N65" s="5" t="str">
        <f>IFERROR(__xludf.DUMMYFUNCTION("IF(Y65&lt;&gt;"""", GOOGLETRANSLATE(Y65, ""RO"", ""EN""), """")"),"")</f>
        <v/>
      </c>
    </row>
    <row r="66" ht="15.75" customHeight="1">
      <c r="A66" s="4" t="s">
        <v>296</v>
      </c>
      <c r="B66" s="4" t="s">
        <v>297</v>
      </c>
      <c r="C66" s="4" t="str">
        <f>IFERROR(__xludf.DUMMYFUNCTION("GOOGLETRANSLATE(B66, ""RO"", ""EN"")"),"In a regular week in how many of the seven days of a regular week you read a newspaper, printed or on the Internet?")</f>
        <v>In a regular week in how many of the seven days of a regular week you read a newspaper, printed or on the Internet?</v>
      </c>
      <c r="D66" s="5" t="str">
        <f>IFERROR(__xludf.DUMMYFUNCTION("IF(O66&lt;&gt;"""", GOOGLETRANSLATE(O66, ""RO"", ""EN""), """")"),"Never")</f>
        <v>Never</v>
      </c>
      <c r="E66" s="6" t="str">
        <f>IFERROR(__xludf.DUMMYFUNCTION("IF(P66&lt;&gt;"""", GOOGLETRANSLATE(P66, ""RO"", ""EN""), """")"),"1 day")</f>
        <v>1 day</v>
      </c>
      <c r="F66" s="5" t="str">
        <f>IFERROR(__xludf.DUMMYFUNCTION("IF(Q66&lt;&gt;"""", GOOGLETRANSLATE(Q66, ""RO"", ""EN""), """")"),"2 days")</f>
        <v>2 days</v>
      </c>
      <c r="G66" s="5" t="str">
        <f>IFERROR(__xludf.DUMMYFUNCTION("IF(R66&lt;&gt;"""", GOOGLETRANSLATE(R66, ""RO"", ""EN""), """")"),"3 days")</f>
        <v>3 days</v>
      </c>
      <c r="H66" s="5" t="str">
        <f>IFERROR(__xludf.DUMMYFUNCTION("IF(U66&lt;&gt;"""", GOOGLETRANSLATE(U66, ""RO"", ""EN""), """")"),"4 days")</f>
        <v>4 days</v>
      </c>
      <c r="I66" s="5" t="str">
        <f>IFERROR(__xludf.DUMMYFUNCTION("IF(V66&lt;&gt;"""", GOOGLETRANSLATE(V66, ""RO"", ""EN""), """")"),"5 days")</f>
        <v>5 days</v>
      </c>
      <c r="J66" s="5" t="str">
        <f>IFERROR(__xludf.DUMMYFUNCTION("IF(W66&lt;&gt;"""", GOOGLETRANSLATE(W66, ""RO"", ""EN""), """")"),"6 days")</f>
        <v>6 days</v>
      </c>
      <c r="K66" s="5" t="str">
        <f>IFERROR(__xludf.DUMMYFUNCTION("IF(X66&lt;&gt;"""", GOOGLETRANSLATE(X66, ""RO"", ""EN""), """")"),"7 days")</f>
        <v>7 days</v>
      </c>
      <c r="L66" s="5" t="str">
        <f>IFERROR(__xludf.DUMMYFUNCTION("IF(S66&lt;&gt;"""", GOOGLETRANSLATE(S66, ""RO"", ""EN""), """")"),"Ns")</f>
        <v>Ns</v>
      </c>
      <c r="M66" s="5" t="str">
        <f>IFERROR(__xludf.DUMMYFUNCTION("IF(T66&lt;&gt;"""", GOOGLETRANSLATE(T66, ""RO"", ""EN""), """")"),"No.")</f>
        <v>No.</v>
      </c>
      <c r="N66" s="5" t="str">
        <f>IFERROR(__xludf.DUMMYFUNCTION("IF(Y66&lt;&gt;"""", GOOGLETRANSLATE(Y66, ""RO"", ""EN""), """")"),"")</f>
        <v/>
      </c>
      <c r="O66" s="4" t="s">
        <v>282</v>
      </c>
      <c r="P66" s="4" t="s">
        <v>283</v>
      </c>
      <c r="Q66" s="4" t="s">
        <v>284</v>
      </c>
      <c r="R66" s="4" t="s">
        <v>285</v>
      </c>
      <c r="S66" s="4" t="s">
        <v>103</v>
      </c>
      <c r="T66" s="4" t="s">
        <v>104</v>
      </c>
      <c r="U66" s="4" t="s">
        <v>286</v>
      </c>
      <c r="V66" s="4" t="s">
        <v>287</v>
      </c>
      <c r="W66" s="4" t="s">
        <v>288</v>
      </c>
      <c r="X66" s="4" t="s">
        <v>289</v>
      </c>
    </row>
    <row r="67" ht="15.75" customHeight="1">
      <c r="A67" s="4" t="s">
        <v>298</v>
      </c>
      <c r="B67" s="4" t="s">
        <v>299</v>
      </c>
      <c r="C67" s="4" t="str">
        <f>IFERROR(__xludf.DUMMYFUNCTION("GOOGLETRANSLATE(B67, ""RO"", ""EN"")"),"What newspaper do you read most often?")</f>
        <v>What newspaper do you read most often?</v>
      </c>
      <c r="D67" s="5" t="str">
        <f>IFERROR(__xludf.DUMMYFUNCTION("IF(O67&lt;&gt;"""", GOOGLETRANSLATE(O67, ""RO"", ""EN""), """")"),"")</f>
        <v/>
      </c>
      <c r="E67" s="6" t="str">
        <f>IFERROR(__xludf.DUMMYFUNCTION("IF(P67&lt;&gt;"""", GOOGLETRANSLATE(P67, ""RO"", ""EN""), """")"),"")</f>
        <v/>
      </c>
      <c r="F67" s="5" t="str">
        <f>IFERROR(__xludf.DUMMYFUNCTION("IF(Q67&lt;&gt;"""", GOOGLETRANSLATE(Q67, ""RO"", ""EN""), """")"),"")</f>
        <v/>
      </c>
      <c r="G67" s="5" t="str">
        <f>IFERROR(__xludf.DUMMYFUNCTION("IF(R67&lt;&gt;"""", GOOGLETRANSLATE(R67, ""RO"", ""EN""), """")"),"")</f>
        <v/>
      </c>
      <c r="H67" s="5" t="str">
        <f>IFERROR(__xludf.DUMMYFUNCTION("IF(U67&lt;&gt;"""", GOOGLETRANSLATE(U67, ""RO"", ""EN""), """")"),"")</f>
        <v/>
      </c>
      <c r="I67" s="5" t="str">
        <f>IFERROR(__xludf.DUMMYFUNCTION("IF(V67&lt;&gt;"""", GOOGLETRANSLATE(V67, ""RO"", ""EN""), """")"),"")</f>
        <v/>
      </c>
      <c r="J67" s="5" t="str">
        <f>IFERROR(__xludf.DUMMYFUNCTION("IF(W67&lt;&gt;"""", GOOGLETRANSLATE(W67, ""RO"", ""EN""), """")"),"")</f>
        <v/>
      </c>
      <c r="K67" s="5" t="str">
        <f>IFERROR(__xludf.DUMMYFUNCTION("IF(X67&lt;&gt;"""", GOOGLETRANSLATE(X67, ""RO"", ""EN""), """")"),"")</f>
        <v/>
      </c>
      <c r="L67" s="5" t="str">
        <f>IFERROR(__xludf.DUMMYFUNCTION("IF(S67&lt;&gt;"""", GOOGLETRANSLATE(S67, ""RO"", ""EN""), """")"),"")</f>
        <v/>
      </c>
      <c r="M67" s="5" t="str">
        <f>IFERROR(__xludf.DUMMYFUNCTION("IF(T67&lt;&gt;"""", GOOGLETRANSLATE(T67, ""RO"", ""EN""), """")"),"")</f>
        <v/>
      </c>
      <c r="N67" s="5" t="str">
        <f>IFERROR(__xludf.DUMMYFUNCTION("IF(Y67&lt;&gt;"""", GOOGLETRANSLATE(Y67, ""RO"", ""EN""), """")"),"")</f>
        <v/>
      </c>
    </row>
    <row r="68" ht="15.75" customHeight="1">
      <c r="A68" s="4" t="s">
        <v>300</v>
      </c>
      <c r="B68" s="4" t="s">
        <v>301</v>
      </c>
      <c r="C68" s="4" t="str">
        <f>IFERROR(__xludf.DUMMYFUNCTION("GOOGLETRANSLATE(B68, ""RO"", ""EN"")"),"In how many of the seven days of a common week do you talk to someone about the situation in the country?")</f>
        <v>In how many of the seven days of a common week do you talk to someone about the situation in the country?</v>
      </c>
      <c r="D68" s="5" t="str">
        <f>IFERROR(__xludf.DUMMYFUNCTION("IF(O68&lt;&gt;"""", GOOGLETRANSLATE(O68, ""RO"", ""EN""), """")"),"Never")</f>
        <v>Never</v>
      </c>
      <c r="E68" s="6" t="str">
        <f>IFERROR(__xludf.DUMMYFUNCTION("IF(P68&lt;&gt;"""", GOOGLETRANSLATE(P68, ""RO"", ""EN""), """")"),"1 day")</f>
        <v>1 day</v>
      </c>
      <c r="F68" s="5" t="str">
        <f>IFERROR(__xludf.DUMMYFUNCTION("IF(Q68&lt;&gt;"""", GOOGLETRANSLATE(Q68, ""RO"", ""EN""), """")"),"2 days")</f>
        <v>2 days</v>
      </c>
      <c r="G68" s="5" t="str">
        <f>IFERROR(__xludf.DUMMYFUNCTION("IF(R68&lt;&gt;"""", GOOGLETRANSLATE(R68, ""RO"", ""EN""), """")"),"3 days")</f>
        <v>3 days</v>
      </c>
      <c r="H68" s="5" t="str">
        <f>IFERROR(__xludf.DUMMYFUNCTION("IF(U68&lt;&gt;"""", GOOGLETRANSLATE(U68, ""RO"", ""EN""), """")"),"4 days")</f>
        <v>4 days</v>
      </c>
      <c r="I68" s="5" t="str">
        <f>IFERROR(__xludf.DUMMYFUNCTION("IF(V68&lt;&gt;"""", GOOGLETRANSLATE(V68, ""RO"", ""EN""), """")"),"5 days")</f>
        <v>5 days</v>
      </c>
      <c r="J68" s="5" t="str">
        <f>IFERROR(__xludf.DUMMYFUNCTION("IF(W68&lt;&gt;"""", GOOGLETRANSLATE(W68, ""RO"", ""EN""), """")"),"6 days")</f>
        <v>6 days</v>
      </c>
      <c r="K68" s="5" t="str">
        <f>IFERROR(__xludf.DUMMYFUNCTION("IF(X68&lt;&gt;"""", GOOGLETRANSLATE(X68, ""RO"", ""EN""), """")"),"7 days")</f>
        <v>7 days</v>
      </c>
      <c r="L68" s="5" t="str">
        <f>IFERROR(__xludf.DUMMYFUNCTION("IF(S68&lt;&gt;"""", GOOGLETRANSLATE(S68, ""RO"", ""EN""), """")"),"Ns")</f>
        <v>Ns</v>
      </c>
      <c r="M68" s="5" t="str">
        <f>IFERROR(__xludf.DUMMYFUNCTION("IF(T68&lt;&gt;"""", GOOGLETRANSLATE(T68, ""RO"", ""EN""), """")"),"No.")</f>
        <v>No.</v>
      </c>
      <c r="N68" s="5" t="str">
        <f>IFERROR(__xludf.DUMMYFUNCTION("IF(Y68&lt;&gt;"""", GOOGLETRANSLATE(Y68, ""RO"", ""EN""), """")"),"")</f>
        <v/>
      </c>
      <c r="O68" s="4" t="s">
        <v>282</v>
      </c>
      <c r="P68" s="4" t="s">
        <v>283</v>
      </c>
      <c r="Q68" s="4" t="s">
        <v>284</v>
      </c>
      <c r="R68" s="4" t="s">
        <v>285</v>
      </c>
      <c r="S68" s="4" t="s">
        <v>103</v>
      </c>
      <c r="T68" s="4" t="s">
        <v>104</v>
      </c>
      <c r="U68" s="4" t="s">
        <v>286</v>
      </c>
      <c r="V68" s="4" t="s">
        <v>287</v>
      </c>
      <c r="W68" s="4" t="s">
        <v>288</v>
      </c>
      <c r="X68" s="4" t="s">
        <v>289</v>
      </c>
    </row>
    <row r="69" ht="15.75" customHeight="1">
      <c r="A69" s="4" t="s">
        <v>302</v>
      </c>
      <c r="B69" s="4" t="s">
        <v>303</v>
      </c>
      <c r="C69" s="4" t="str">
        <f>IFERROR(__xludf.DUMMYFUNCTION("GOOGLETRANSLATE(B69, ""RO"", ""EN"")"),"On November 22, 2009, presidential elections and referendum will take place in Romania. If 0 represents a person who ""very sure will not vote"" and 10 a person who ""very sure will vote"" at ..., on this scale where would you find out? the elections pres"&amp;"ident?")</f>
        <v>On November 22, 2009, presidential elections and referendum will take place in Romania. If 0 represents a person who "very sure will not vote" and 10 a person who "very sure will vote" at ..., on this scale where would you find out? the elections president?</v>
      </c>
      <c r="D69" s="5" t="str">
        <f>IFERROR(__xludf.DUMMYFUNCTION("IF(O69&lt;&gt;"""", GOOGLETRANSLATE(O69, ""RO"", ""EN""), """")"),"Very sure I don't vote")</f>
        <v>Very sure I don't vote</v>
      </c>
      <c r="E69" s="6" t="str">
        <f>IFERROR(__xludf.DUMMYFUNCTION("IF(P69&lt;&gt;"""", GOOGLETRANSLATE(P69, ""RO"", ""EN""), """")"),"1")</f>
        <v>1</v>
      </c>
      <c r="F69" s="5" t="str">
        <f>IFERROR(__xludf.DUMMYFUNCTION("IF(Q69&lt;&gt;"""", GOOGLETRANSLATE(Q69, ""RO"", ""EN""), """")"),"2")</f>
        <v>2</v>
      </c>
      <c r="G69" s="5" t="str">
        <f>IFERROR(__xludf.DUMMYFUNCTION("IF(R69&lt;&gt;"""", GOOGLETRANSLATE(R69, ""RO"", ""EN""), """")"),"3")</f>
        <v>3</v>
      </c>
      <c r="H69" s="5" t="str">
        <f>IFERROR(__xludf.DUMMYFUNCTION("IF(U69&lt;&gt;"""", GOOGLETRANSLATE(U69, ""RO"", ""EN""), """")"),"4")</f>
        <v>4</v>
      </c>
      <c r="I69" s="5" t="str">
        <f>IFERROR(__xludf.DUMMYFUNCTION("IF(V69&lt;&gt;"""", GOOGLETRANSLATE(V69, ""RO"", ""EN""), """")"),"5")</f>
        <v>5</v>
      </c>
      <c r="J69" s="5" t="str">
        <f>IFERROR(__xludf.DUMMYFUNCTION("IF(W69&lt;&gt;"""", GOOGLETRANSLATE(W69, ""RO"", ""EN""), """")"),"6")</f>
        <v>6</v>
      </c>
      <c r="K69" s="5" t="str">
        <f>IFERROR(__xludf.DUMMYFUNCTION("IF(X69&lt;&gt;"""", GOOGLETRANSLATE(X69, ""RO"", ""EN""), """")"),"7")</f>
        <v>7</v>
      </c>
      <c r="L69" s="5" t="str">
        <f>IFERROR(__xludf.DUMMYFUNCTION("IF(S69&lt;&gt;"""", GOOGLETRANSLATE(S69, ""RO"", ""EN""), """")"),"8")</f>
        <v>8</v>
      </c>
      <c r="M69" s="5" t="str">
        <f>IFERROR(__xludf.DUMMYFUNCTION("IF(T69&lt;&gt;"""", GOOGLETRANSLATE(T69, ""RO"", ""EN""), """")"),"9")</f>
        <v>9</v>
      </c>
      <c r="N69" s="5" t="str">
        <f>IFERROR(__xludf.DUMMYFUNCTION("IF(Y69&lt;&gt;"""", GOOGLETRANSLATE(Y69, ""RO"", ""EN""), """")"),"Very sure I vote")</f>
        <v>Very sure I vote</v>
      </c>
      <c r="O69" s="4" t="s">
        <v>304</v>
      </c>
      <c r="P69" s="4" t="s">
        <v>168</v>
      </c>
      <c r="Q69" s="4" t="s">
        <v>169</v>
      </c>
      <c r="R69" s="4" t="s">
        <v>170</v>
      </c>
      <c r="S69" s="4" t="s">
        <v>171</v>
      </c>
      <c r="T69" s="4" t="s">
        <v>172</v>
      </c>
      <c r="U69" s="4" t="s">
        <v>173</v>
      </c>
      <c r="V69" s="4" t="s">
        <v>174</v>
      </c>
      <c r="W69" s="4" t="s">
        <v>175</v>
      </c>
      <c r="X69" s="4" t="s">
        <v>176</v>
      </c>
      <c r="Y69" s="4" t="s">
        <v>305</v>
      </c>
      <c r="AA69" s="4" t="s">
        <v>103</v>
      </c>
      <c r="AB69" s="4" t="s">
        <v>104</v>
      </c>
    </row>
    <row r="70" ht="15.75" customHeight="1">
      <c r="A70" s="4" t="s">
        <v>306</v>
      </c>
      <c r="B70" s="4" t="s">
        <v>307</v>
      </c>
      <c r="C70" s="4" t="str">
        <f>IFERROR(__xludf.DUMMYFUNCTION("GOOGLETRANSLATE(B70, ""RO"", ""EN"")"),"referendum")</f>
        <v>referendum</v>
      </c>
      <c r="D70" s="5" t="str">
        <f>IFERROR(__xludf.DUMMYFUNCTION("IF(O70&lt;&gt;"""", GOOGLETRANSLATE(O70, ""RO"", ""EN""), """")"),"Very sure I don't vote")</f>
        <v>Very sure I don't vote</v>
      </c>
      <c r="E70" s="6" t="str">
        <f>IFERROR(__xludf.DUMMYFUNCTION("IF(P70&lt;&gt;"""", GOOGLETRANSLATE(P70, ""RO"", ""EN""), """")"),"1")</f>
        <v>1</v>
      </c>
      <c r="F70" s="5" t="str">
        <f>IFERROR(__xludf.DUMMYFUNCTION("IF(Q70&lt;&gt;"""", GOOGLETRANSLATE(Q70, ""RO"", ""EN""), """")"),"2")</f>
        <v>2</v>
      </c>
      <c r="G70" s="5" t="str">
        <f>IFERROR(__xludf.DUMMYFUNCTION("IF(R70&lt;&gt;"""", GOOGLETRANSLATE(R70, ""RO"", ""EN""), """")"),"3")</f>
        <v>3</v>
      </c>
      <c r="H70" s="5" t="str">
        <f>IFERROR(__xludf.DUMMYFUNCTION("IF(U70&lt;&gt;"""", GOOGLETRANSLATE(U70, ""RO"", ""EN""), """")"),"4")</f>
        <v>4</v>
      </c>
      <c r="I70" s="5" t="str">
        <f>IFERROR(__xludf.DUMMYFUNCTION("IF(V70&lt;&gt;"""", GOOGLETRANSLATE(V70, ""RO"", ""EN""), """")"),"5")</f>
        <v>5</v>
      </c>
      <c r="J70" s="5" t="str">
        <f>IFERROR(__xludf.DUMMYFUNCTION("IF(W70&lt;&gt;"""", GOOGLETRANSLATE(W70, ""RO"", ""EN""), """")"),"6")</f>
        <v>6</v>
      </c>
      <c r="K70" s="5" t="str">
        <f>IFERROR(__xludf.DUMMYFUNCTION("IF(X70&lt;&gt;"""", GOOGLETRANSLATE(X70, ""RO"", ""EN""), """")"),"7")</f>
        <v>7</v>
      </c>
      <c r="L70" s="5" t="str">
        <f>IFERROR(__xludf.DUMMYFUNCTION("IF(S70&lt;&gt;"""", GOOGLETRANSLATE(S70, ""RO"", ""EN""), """")"),"8")</f>
        <v>8</v>
      </c>
      <c r="M70" s="5" t="str">
        <f>IFERROR(__xludf.DUMMYFUNCTION("IF(T70&lt;&gt;"""", GOOGLETRANSLATE(T70, ""RO"", ""EN""), """")"),"9")</f>
        <v>9</v>
      </c>
      <c r="N70" s="5" t="str">
        <f>IFERROR(__xludf.DUMMYFUNCTION("IF(Y70&lt;&gt;"""", GOOGLETRANSLATE(Y70, ""RO"", ""EN""), """")"),"Very sure I vote")</f>
        <v>Very sure I vote</v>
      </c>
      <c r="O70" s="4" t="s">
        <v>304</v>
      </c>
      <c r="P70" s="4" t="s">
        <v>168</v>
      </c>
      <c r="Q70" s="4" t="s">
        <v>169</v>
      </c>
      <c r="R70" s="4" t="s">
        <v>170</v>
      </c>
      <c r="S70" s="4" t="s">
        <v>171</v>
      </c>
      <c r="T70" s="4" t="s">
        <v>172</v>
      </c>
      <c r="U70" s="4" t="s">
        <v>173</v>
      </c>
      <c r="V70" s="4" t="s">
        <v>174</v>
      </c>
      <c r="W70" s="4" t="s">
        <v>175</v>
      </c>
      <c r="X70" s="4" t="s">
        <v>176</v>
      </c>
      <c r="Y70" s="4" t="s">
        <v>305</v>
      </c>
      <c r="AA70" s="4" t="s">
        <v>103</v>
      </c>
      <c r="AB70" s="4" t="s">
        <v>104</v>
      </c>
    </row>
    <row r="71" ht="15.75" customHeight="1">
      <c r="A71" s="4" t="s">
        <v>308</v>
      </c>
      <c r="B71" s="4" t="s">
        <v>309</v>
      </c>
      <c r="C71" s="4" t="str">
        <f>IFERROR(__xludf.DUMMYFUNCTION("GOOGLETRANSLATE(B71, ""RO"", ""EN"")"),"On November 22, 2009, presidential elections and referendum will take place in Romania. For different reasons, most likely only half of the voters will vote. If 0 represents a person who ""very sure will not vote"" and 10 a person who ""scoop")</f>
        <v>On November 22, 2009, presidential elections and referendum will take place in Romania. For different reasons, most likely only half of the voters will vote. If 0 represents a person who "very sure will not vote" and 10 a person who "scoop</v>
      </c>
      <c r="D71" s="5" t="str">
        <f>IFERROR(__xludf.DUMMYFUNCTION("IF(O71&lt;&gt;"""", GOOGLETRANSLATE(O71, ""RO"", ""EN""), """")"),"Very sure I don't vote")</f>
        <v>Very sure I don't vote</v>
      </c>
      <c r="E71" s="6" t="str">
        <f>IFERROR(__xludf.DUMMYFUNCTION("IF(P71&lt;&gt;"""", GOOGLETRANSLATE(P71, ""RO"", ""EN""), """")"),"1")</f>
        <v>1</v>
      </c>
      <c r="F71" s="5" t="str">
        <f>IFERROR(__xludf.DUMMYFUNCTION("IF(Q71&lt;&gt;"""", GOOGLETRANSLATE(Q71, ""RO"", ""EN""), """")"),"2")</f>
        <v>2</v>
      </c>
      <c r="G71" s="5" t="str">
        <f>IFERROR(__xludf.DUMMYFUNCTION("IF(R71&lt;&gt;"""", GOOGLETRANSLATE(R71, ""RO"", ""EN""), """")"),"3")</f>
        <v>3</v>
      </c>
      <c r="H71" s="5" t="str">
        <f>IFERROR(__xludf.DUMMYFUNCTION("IF(U71&lt;&gt;"""", GOOGLETRANSLATE(U71, ""RO"", ""EN""), """")"),"4")</f>
        <v>4</v>
      </c>
      <c r="I71" s="5" t="str">
        <f>IFERROR(__xludf.DUMMYFUNCTION("IF(V71&lt;&gt;"""", GOOGLETRANSLATE(V71, ""RO"", ""EN""), """")"),"5")</f>
        <v>5</v>
      </c>
      <c r="J71" s="5" t="str">
        <f>IFERROR(__xludf.DUMMYFUNCTION("IF(W71&lt;&gt;"""", GOOGLETRANSLATE(W71, ""RO"", ""EN""), """")"),"6")</f>
        <v>6</v>
      </c>
      <c r="K71" s="5" t="str">
        <f>IFERROR(__xludf.DUMMYFUNCTION("IF(X71&lt;&gt;"""", GOOGLETRANSLATE(X71, ""RO"", ""EN""), """")"),"7")</f>
        <v>7</v>
      </c>
      <c r="L71" s="5" t="str">
        <f>IFERROR(__xludf.DUMMYFUNCTION("IF(S71&lt;&gt;"""", GOOGLETRANSLATE(S71, ""RO"", ""EN""), """")"),"8")</f>
        <v>8</v>
      </c>
      <c r="M71" s="5" t="str">
        <f>IFERROR(__xludf.DUMMYFUNCTION("IF(T71&lt;&gt;"""", GOOGLETRANSLATE(T71, ""RO"", ""EN""), """")"),"9")</f>
        <v>9</v>
      </c>
      <c r="N71" s="5" t="str">
        <f>IFERROR(__xludf.DUMMYFUNCTION("IF(Y71&lt;&gt;"""", GOOGLETRANSLATE(Y71, ""RO"", ""EN""), """")"),"Very sure I vote")</f>
        <v>Very sure I vote</v>
      </c>
      <c r="O71" s="4" t="s">
        <v>304</v>
      </c>
      <c r="P71" s="4" t="s">
        <v>168</v>
      </c>
      <c r="Q71" s="4" t="s">
        <v>169</v>
      </c>
      <c r="R71" s="4" t="s">
        <v>170</v>
      </c>
      <c r="S71" s="4" t="s">
        <v>171</v>
      </c>
      <c r="T71" s="4" t="s">
        <v>172</v>
      </c>
      <c r="U71" s="4" t="s">
        <v>173</v>
      </c>
      <c r="V71" s="4" t="s">
        <v>174</v>
      </c>
      <c r="W71" s="4" t="s">
        <v>175</v>
      </c>
      <c r="X71" s="4" t="s">
        <v>176</v>
      </c>
      <c r="Y71" s="4" t="s">
        <v>305</v>
      </c>
      <c r="AA71" s="4" t="s">
        <v>103</v>
      </c>
      <c r="AB71" s="4" t="s">
        <v>104</v>
      </c>
    </row>
    <row r="72" ht="15.75" customHeight="1">
      <c r="A72" s="4" t="s">
        <v>310</v>
      </c>
      <c r="B72" s="4" t="s">
        <v>307</v>
      </c>
      <c r="C72" s="4" t="str">
        <f>IFERROR(__xludf.DUMMYFUNCTION("GOOGLETRANSLATE(B72, ""RO"", ""EN"")"),"referendum")</f>
        <v>referendum</v>
      </c>
      <c r="D72" s="5" t="str">
        <f>IFERROR(__xludf.DUMMYFUNCTION("IF(O72&lt;&gt;"""", GOOGLETRANSLATE(O72, ""RO"", ""EN""), """")"),"Very sure I don't vote")</f>
        <v>Very sure I don't vote</v>
      </c>
      <c r="E72" s="6" t="str">
        <f>IFERROR(__xludf.DUMMYFUNCTION("IF(P72&lt;&gt;"""", GOOGLETRANSLATE(P72, ""RO"", ""EN""), """")"),"1")</f>
        <v>1</v>
      </c>
      <c r="F72" s="5" t="str">
        <f>IFERROR(__xludf.DUMMYFUNCTION("IF(Q72&lt;&gt;"""", GOOGLETRANSLATE(Q72, ""RO"", ""EN""), """")"),"2")</f>
        <v>2</v>
      </c>
      <c r="G72" s="5" t="str">
        <f>IFERROR(__xludf.DUMMYFUNCTION("IF(R72&lt;&gt;"""", GOOGLETRANSLATE(R72, ""RO"", ""EN""), """")"),"3")</f>
        <v>3</v>
      </c>
      <c r="H72" s="5" t="str">
        <f>IFERROR(__xludf.DUMMYFUNCTION("IF(U72&lt;&gt;"""", GOOGLETRANSLATE(U72, ""RO"", ""EN""), """")"),"4")</f>
        <v>4</v>
      </c>
      <c r="I72" s="5" t="str">
        <f>IFERROR(__xludf.DUMMYFUNCTION("IF(V72&lt;&gt;"""", GOOGLETRANSLATE(V72, ""RO"", ""EN""), """")"),"5")</f>
        <v>5</v>
      </c>
      <c r="J72" s="5" t="str">
        <f>IFERROR(__xludf.DUMMYFUNCTION("IF(W72&lt;&gt;"""", GOOGLETRANSLATE(W72, ""RO"", ""EN""), """")"),"6")</f>
        <v>6</v>
      </c>
      <c r="K72" s="5" t="str">
        <f>IFERROR(__xludf.DUMMYFUNCTION("IF(X72&lt;&gt;"""", GOOGLETRANSLATE(X72, ""RO"", ""EN""), """")"),"7")</f>
        <v>7</v>
      </c>
      <c r="L72" s="5" t="str">
        <f>IFERROR(__xludf.DUMMYFUNCTION("IF(S72&lt;&gt;"""", GOOGLETRANSLATE(S72, ""RO"", ""EN""), """")"),"8")</f>
        <v>8</v>
      </c>
      <c r="M72" s="5" t="str">
        <f>IFERROR(__xludf.DUMMYFUNCTION("IF(T72&lt;&gt;"""", GOOGLETRANSLATE(T72, ""RO"", ""EN""), """")"),"9")</f>
        <v>9</v>
      </c>
      <c r="N72" s="5" t="str">
        <f>IFERROR(__xludf.DUMMYFUNCTION("IF(Y72&lt;&gt;"""", GOOGLETRANSLATE(Y72, ""RO"", ""EN""), """")"),"Very sure I vote")</f>
        <v>Very sure I vote</v>
      </c>
      <c r="O72" s="4" t="s">
        <v>304</v>
      </c>
      <c r="P72" s="4" t="s">
        <v>168</v>
      </c>
      <c r="Q72" s="4" t="s">
        <v>169</v>
      </c>
      <c r="R72" s="4" t="s">
        <v>170</v>
      </c>
      <c r="S72" s="4" t="s">
        <v>171</v>
      </c>
      <c r="T72" s="4" t="s">
        <v>172</v>
      </c>
      <c r="U72" s="4" t="s">
        <v>173</v>
      </c>
      <c r="V72" s="4" t="s">
        <v>174</v>
      </c>
      <c r="W72" s="4" t="s">
        <v>175</v>
      </c>
      <c r="X72" s="4" t="s">
        <v>176</v>
      </c>
      <c r="Y72" s="4" t="s">
        <v>305</v>
      </c>
      <c r="AA72" s="4" t="s">
        <v>103</v>
      </c>
      <c r="AB72" s="4" t="s">
        <v>104</v>
      </c>
    </row>
    <row r="73" ht="15.75" customHeight="1">
      <c r="A73" s="4" t="s">
        <v>311</v>
      </c>
      <c r="B73" s="4" t="s">
        <v>312</v>
      </c>
      <c r="C73" s="4" t="str">
        <f>IFERROR(__xludf.DUMMYFUNCTION("GOOGLETRANSLATE(B73, ""RO"", ""EN"")"),"On a scale from 0 to 10, where 0 means ""I don't like it at all"" and 10 ""I really like"" how much you like ...? Mircea Geoana")</f>
        <v>On a scale from 0 to 10, where 0 means "I don't like it at all" and 10 "I really like" how much you like ...? Mircea Geoana</v>
      </c>
      <c r="D73" s="5" t="str">
        <f>IFERROR(__xludf.DUMMYFUNCTION("IF(O73&lt;&gt;"""", GOOGLETRANSLATE(O73, ""RO"", ""EN""), """")"),"I do not like it at all")</f>
        <v>I do not like it at all</v>
      </c>
      <c r="E73" s="6" t="str">
        <f>IFERROR(__xludf.DUMMYFUNCTION("IF(P73&lt;&gt;"""", GOOGLETRANSLATE(P73, ""RO"", ""EN""), """")"),"1")</f>
        <v>1</v>
      </c>
      <c r="F73" s="5" t="str">
        <f>IFERROR(__xludf.DUMMYFUNCTION("IF(Q73&lt;&gt;"""", GOOGLETRANSLATE(Q73, ""RO"", ""EN""), """")"),"2")</f>
        <v>2</v>
      </c>
      <c r="G73" s="5" t="str">
        <f>IFERROR(__xludf.DUMMYFUNCTION("IF(R73&lt;&gt;"""", GOOGLETRANSLATE(R73, ""RO"", ""EN""), """")"),"3")</f>
        <v>3</v>
      </c>
      <c r="H73" s="5" t="str">
        <f>IFERROR(__xludf.DUMMYFUNCTION("IF(U73&lt;&gt;"""", GOOGLETRANSLATE(U73, ""RO"", ""EN""), """")"),"4")</f>
        <v>4</v>
      </c>
      <c r="I73" s="5" t="str">
        <f>IFERROR(__xludf.DUMMYFUNCTION("IF(V73&lt;&gt;"""", GOOGLETRANSLATE(V73, ""RO"", ""EN""), """")"),"5")</f>
        <v>5</v>
      </c>
      <c r="J73" s="5" t="str">
        <f>IFERROR(__xludf.DUMMYFUNCTION("IF(W73&lt;&gt;"""", GOOGLETRANSLATE(W73, ""RO"", ""EN""), """")"),"6")</f>
        <v>6</v>
      </c>
      <c r="K73" s="5" t="str">
        <f>IFERROR(__xludf.DUMMYFUNCTION("IF(X73&lt;&gt;"""", GOOGLETRANSLATE(X73, ""RO"", ""EN""), """")"),"7")</f>
        <v>7</v>
      </c>
      <c r="L73" s="5" t="str">
        <f>IFERROR(__xludf.DUMMYFUNCTION("IF(S73&lt;&gt;"""", GOOGLETRANSLATE(S73, ""RO"", ""EN""), """")"),"8")</f>
        <v>8</v>
      </c>
      <c r="M73" s="5" t="str">
        <f>IFERROR(__xludf.DUMMYFUNCTION("IF(T73&lt;&gt;"""", GOOGLETRANSLATE(T73, ""RO"", ""EN""), """")"),"9")</f>
        <v>9</v>
      </c>
      <c r="N73" s="5" t="str">
        <f>IFERROR(__xludf.DUMMYFUNCTION("IF(Y73&lt;&gt;"""", GOOGLETRANSLATE(Y73, ""RO"", ""EN""), """")"),"I really like")</f>
        <v>I really like</v>
      </c>
      <c r="O73" s="4" t="s">
        <v>313</v>
      </c>
      <c r="P73" s="4" t="s">
        <v>168</v>
      </c>
      <c r="Q73" s="4" t="s">
        <v>169</v>
      </c>
      <c r="R73" s="4" t="s">
        <v>170</v>
      </c>
      <c r="S73" s="4" t="s">
        <v>171</v>
      </c>
      <c r="T73" s="4" t="s">
        <v>172</v>
      </c>
      <c r="U73" s="4" t="s">
        <v>173</v>
      </c>
      <c r="V73" s="4" t="s">
        <v>174</v>
      </c>
      <c r="W73" s="4" t="s">
        <v>175</v>
      </c>
      <c r="X73" s="4" t="s">
        <v>176</v>
      </c>
      <c r="Y73" s="4" t="s">
        <v>314</v>
      </c>
      <c r="Z73" s="4" t="s">
        <v>315</v>
      </c>
      <c r="AA73" s="4" t="s">
        <v>103</v>
      </c>
      <c r="AB73" s="4" t="s">
        <v>104</v>
      </c>
    </row>
    <row r="74" ht="15.75" customHeight="1">
      <c r="A74" s="4" t="s">
        <v>316</v>
      </c>
      <c r="B74" s="4" t="s">
        <v>220</v>
      </c>
      <c r="C74" s="4" t="str">
        <f>IFERROR(__xludf.DUMMYFUNCTION("GOOGLETRANSLATE(B74, ""RO"", ""EN"")"),"Crin Antonescu")</f>
        <v>Crin Antonescu</v>
      </c>
      <c r="D74" s="5" t="str">
        <f>IFERROR(__xludf.DUMMYFUNCTION("IF(O74&lt;&gt;"""", GOOGLETRANSLATE(O74, ""RO"", ""EN""), """")"),"I do not like it at all")</f>
        <v>I do not like it at all</v>
      </c>
      <c r="E74" s="6" t="str">
        <f>IFERROR(__xludf.DUMMYFUNCTION("IF(P74&lt;&gt;"""", GOOGLETRANSLATE(P74, ""RO"", ""EN""), """")"),"1")</f>
        <v>1</v>
      </c>
      <c r="F74" s="5" t="str">
        <f>IFERROR(__xludf.DUMMYFUNCTION("IF(Q74&lt;&gt;"""", GOOGLETRANSLATE(Q74, ""RO"", ""EN""), """")"),"2")</f>
        <v>2</v>
      </c>
      <c r="G74" s="5" t="str">
        <f>IFERROR(__xludf.DUMMYFUNCTION("IF(R74&lt;&gt;"""", GOOGLETRANSLATE(R74, ""RO"", ""EN""), """")"),"3")</f>
        <v>3</v>
      </c>
      <c r="H74" s="5" t="str">
        <f>IFERROR(__xludf.DUMMYFUNCTION("IF(U74&lt;&gt;"""", GOOGLETRANSLATE(U74, ""RO"", ""EN""), """")"),"4")</f>
        <v>4</v>
      </c>
      <c r="I74" s="5" t="str">
        <f>IFERROR(__xludf.DUMMYFUNCTION("IF(V74&lt;&gt;"""", GOOGLETRANSLATE(V74, ""RO"", ""EN""), """")"),"5")</f>
        <v>5</v>
      </c>
      <c r="J74" s="5" t="str">
        <f>IFERROR(__xludf.DUMMYFUNCTION("IF(W74&lt;&gt;"""", GOOGLETRANSLATE(W74, ""RO"", ""EN""), """")"),"6")</f>
        <v>6</v>
      </c>
      <c r="K74" s="5" t="str">
        <f>IFERROR(__xludf.DUMMYFUNCTION("IF(X74&lt;&gt;"""", GOOGLETRANSLATE(X74, ""RO"", ""EN""), """")"),"7")</f>
        <v>7</v>
      </c>
      <c r="L74" s="5" t="str">
        <f>IFERROR(__xludf.DUMMYFUNCTION("IF(S74&lt;&gt;"""", GOOGLETRANSLATE(S74, ""RO"", ""EN""), """")"),"8")</f>
        <v>8</v>
      </c>
      <c r="M74" s="5" t="str">
        <f>IFERROR(__xludf.DUMMYFUNCTION("IF(T74&lt;&gt;"""", GOOGLETRANSLATE(T74, ""RO"", ""EN""), """")"),"9")</f>
        <v>9</v>
      </c>
      <c r="N74" s="5" t="str">
        <f>IFERROR(__xludf.DUMMYFUNCTION("IF(Y74&lt;&gt;"""", GOOGLETRANSLATE(Y74, ""RO"", ""EN""), """")"),"I really like")</f>
        <v>I really like</v>
      </c>
      <c r="O74" s="4" t="s">
        <v>313</v>
      </c>
      <c r="P74" s="4" t="s">
        <v>168</v>
      </c>
      <c r="Q74" s="4" t="s">
        <v>169</v>
      </c>
      <c r="R74" s="4" t="s">
        <v>170</v>
      </c>
      <c r="S74" s="4" t="s">
        <v>171</v>
      </c>
      <c r="T74" s="4" t="s">
        <v>172</v>
      </c>
      <c r="U74" s="4" t="s">
        <v>173</v>
      </c>
      <c r="V74" s="4" t="s">
        <v>174</v>
      </c>
      <c r="W74" s="4" t="s">
        <v>175</v>
      </c>
      <c r="X74" s="4" t="s">
        <v>176</v>
      </c>
      <c r="Y74" s="4" t="s">
        <v>314</v>
      </c>
      <c r="Z74" s="4" t="s">
        <v>315</v>
      </c>
      <c r="AA74" s="4" t="s">
        <v>103</v>
      </c>
      <c r="AB74" s="4" t="s">
        <v>104</v>
      </c>
    </row>
    <row r="75" ht="15.75" customHeight="1">
      <c r="A75" s="4" t="s">
        <v>317</v>
      </c>
      <c r="B75" s="4" t="s">
        <v>221</v>
      </c>
      <c r="C75" s="4" t="str">
        <f>IFERROR(__xludf.DUMMYFUNCTION("GOOGLETRANSLATE(B75, ""RO"", ""EN"")"),"Traian Basescu")</f>
        <v>Traian Basescu</v>
      </c>
      <c r="D75" s="5" t="str">
        <f>IFERROR(__xludf.DUMMYFUNCTION("IF(O75&lt;&gt;"""", GOOGLETRANSLATE(O75, ""RO"", ""EN""), """")"),"I do not like it at all")</f>
        <v>I do not like it at all</v>
      </c>
      <c r="E75" s="6" t="str">
        <f>IFERROR(__xludf.DUMMYFUNCTION("IF(P75&lt;&gt;"""", GOOGLETRANSLATE(P75, ""RO"", ""EN""), """")"),"1")</f>
        <v>1</v>
      </c>
      <c r="F75" s="5" t="str">
        <f>IFERROR(__xludf.DUMMYFUNCTION("IF(Q75&lt;&gt;"""", GOOGLETRANSLATE(Q75, ""RO"", ""EN""), """")"),"2")</f>
        <v>2</v>
      </c>
      <c r="G75" s="5" t="str">
        <f>IFERROR(__xludf.DUMMYFUNCTION("IF(R75&lt;&gt;"""", GOOGLETRANSLATE(R75, ""RO"", ""EN""), """")"),"3")</f>
        <v>3</v>
      </c>
      <c r="H75" s="5" t="str">
        <f>IFERROR(__xludf.DUMMYFUNCTION("IF(U75&lt;&gt;"""", GOOGLETRANSLATE(U75, ""RO"", ""EN""), """")"),"4")</f>
        <v>4</v>
      </c>
      <c r="I75" s="5" t="str">
        <f>IFERROR(__xludf.DUMMYFUNCTION("IF(V75&lt;&gt;"""", GOOGLETRANSLATE(V75, ""RO"", ""EN""), """")"),"5")</f>
        <v>5</v>
      </c>
      <c r="J75" s="5" t="str">
        <f>IFERROR(__xludf.DUMMYFUNCTION("IF(W75&lt;&gt;"""", GOOGLETRANSLATE(W75, ""RO"", ""EN""), """")"),"6")</f>
        <v>6</v>
      </c>
      <c r="K75" s="5" t="str">
        <f>IFERROR(__xludf.DUMMYFUNCTION("IF(X75&lt;&gt;"""", GOOGLETRANSLATE(X75, ""RO"", ""EN""), """")"),"7")</f>
        <v>7</v>
      </c>
      <c r="L75" s="5" t="str">
        <f>IFERROR(__xludf.DUMMYFUNCTION("IF(S75&lt;&gt;"""", GOOGLETRANSLATE(S75, ""RO"", ""EN""), """")"),"8")</f>
        <v>8</v>
      </c>
      <c r="M75" s="5" t="str">
        <f>IFERROR(__xludf.DUMMYFUNCTION("IF(T75&lt;&gt;"""", GOOGLETRANSLATE(T75, ""RO"", ""EN""), """")"),"9")</f>
        <v>9</v>
      </c>
      <c r="N75" s="5" t="str">
        <f>IFERROR(__xludf.DUMMYFUNCTION("IF(Y75&lt;&gt;"""", GOOGLETRANSLATE(Y75, ""RO"", ""EN""), """")"),"I really like")</f>
        <v>I really like</v>
      </c>
      <c r="O75" s="4" t="s">
        <v>313</v>
      </c>
      <c r="P75" s="4" t="s">
        <v>168</v>
      </c>
      <c r="Q75" s="4" t="s">
        <v>169</v>
      </c>
      <c r="R75" s="4" t="s">
        <v>170</v>
      </c>
      <c r="S75" s="4" t="s">
        <v>171</v>
      </c>
      <c r="T75" s="4" t="s">
        <v>172</v>
      </c>
      <c r="U75" s="4" t="s">
        <v>173</v>
      </c>
      <c r="V75" s="4" t="s">
        <v>174</v>
      </c>
      <c r="W75" s="4" t="s">
        <v>175</v>
      </c>
      <c r="X75" s="4" t="s">
        <v>176</v>
      </c>
      <c r="Y75" s="4" t="s">
        <v>314</v>
      </c>
      <c r="Z75" s="4" t="s">
        <v>315</v>
      </c>
      <c r="AA75" s="4" t="s">
        <v>103</v>
      </c>
      <c r="AB75" s="4" t="s">
        <v>104</v>
      </c>
    </row>
    <row r="76" ht="15.75" customHeight="1">
      <c r="A76" s="4" t="s">
        <v>318</v>
      </c>
      <c r="B76" s="4" t="s">
        <v>223</v>
      </c>
      <c r="C76" s="4" t="str">
        <f>IFERROR(__xludf.DUMMYFUNCTION("GOOGLETRANSLATE(B76, ""RO"", ""EN"")"),"Sorin Oprescu")</f>
        <v>Sorin Oprescu</v>
      </c>
      <c r="D76" s="5" t="str">
        <f>IFERROR(__xludf.DUMMYFUNCTION("IF(O76&lt;&gt;"""", GOOGLETRANSLATE(O76, ""RO"", ""EN""), """")"),"I do not like it at all")</f>
        <v>I do not like it at all</v>
      </c>
      <c r="E76" s="6" t="str">
        <f>IFERROR(__xludf.DUMMYFUNCTION("IF(P76&lt;&gt;"""", GOOGLETRANSLATE(P76, ""RO"", ""EN""), """")"),"1")</f>
        <v>1</v>
      </c>
      <c r="F76" s="5" t="str">
        <f>IFERROR(__xludf.DUMMYFUNCTION("IF(Q76&lt;&gt;"""", GOOGLETRANSLATE(Q76, ""RO"", ""EN""), """")"),"2")</f>
        <v>2</v>
      </c>
      <c r="G76" s="5" t="str">
        <f>IFERROR(__xludf.DUMMYFUNCTION("IF(R76&lt;&gt;"""", GOOGLETRANSLATE(R76, ""RO"", ""EN""), """")"),"3")</f>
        <v>3</v>
      </c>
      <c r="H76" s="5" t="str">
        <f>IFERROR(__xludf.DUMMYFUNCTION("IF(U76&lt;&gt;"""", GOOGLETRANSLATE(U76, ""RO"", ""EN""), """")"),"4")</f>
        <v>4</v>
      </c>
      <c r="I76" s="5" t="str">
        <f>IFERROR(__xludf.DUMMYFUNCTION("IF(V76&lt;&gt;"""", GOOGLETRANSLATE(V76, ""RO"", ""EN""), """")"),"5")</f>
        <v>5</v>
      </c>
      <c r="J76" s="5" t="str">
        <f>IFERROR(__xludf.DUMMYFUNCTION("IF(W76&lt;&gt;"""", GOOGLETRANSLATE(W76, ""RO"", ""EN""), """")"),"6")</f>
        <v>6</v>
      </c>
      <c r="K76" s="5" t="str">
        <f>IFERROR(__xludf.DUMMYFUNCTION("IF(X76&lt;&gt;"""", GOOGLETRANSLATE(X76, ""RO"", ""EN""), """")"),"7")</f>
        <v>7</v>
      </c>
      <c r="L76" s="5" t="str">
        <f>IFERROR(__xludf.DUMMYFUNCTION("IF(S76&lt;&gt;"""", GOOGLETRANSLATE(S76, ""RO"", ""EN""), """")"),"8")</f>
        <v>8</v>
      </c>
      <c r="M76" s="5" t="str">
        <f>IFERROR(__xludf.DUMMYFUNCTION("IF(T76&lt;&gt;"""", GOOGLETRANSLATE(T76, ""RO"", ""EN""), """")"),"9")</f>
        <v>9</v>
      </c>
      <c r="N76" s="5" t="str">
        <f>IFERROR(__xludf.DUMMYFUNCTION("IF(Y76&lt;&gt;"""", GOOGLETRANSLATE(Y76, ""RO"", ""EN""), """")"),"I really like")</f>
        <v>I really like</v>
      </c>
      <c r="O76" s="4" t="s">
        <v>313</v>
      </c>
      <c r="P76" s="4" t="s">
        <v>168</v>
      </c>
      <c r="Q76" s="4" t="s">
        <v>169</v>
      </c>
      <c r="R76" s="4" t="s">
        <v>170</v>
      </c>
      <c r="S76" s="4" t="s">
        <v>171</v>
      </c>
      <c r="T76" s="4" t="s">
        <v>172</v>
      </c>
      <c r="U76" s="4" t="s">
        <v>173</v>
      </c>
      <c r="V76" s="4" t="s">
        <v>174</v>
      </c>
      <c r="W76" s="4" t="s">
        <v>175</v>
      </c>
      <c r="X76" s="4" t="s">
        <v>176</v>
      </c>
      <c r="Y76" s="4" t="s">
        <v>314</v>
      </c>
      <c r="Z76" s="4" t="s">
        <v>315</v>
      </c>
      <c r="AA76" s="4" t="s">
        <v>103</v>
      </c>
      <c r="AB76" s="4" t="s">
        <v>104</v>
      </c>
    </row>
    <row r="77" ht="15.75" customHeight="1">
      <c r="A77" s="4" t="s">
        <v>319</v>
      </c>
      <c r="B77" s="4" t="s">
        <v>320</v>
      </c>
      <c r="C77" s="4" t="str">
        <f>IFERROR(__xludf.DUMMYFUNCTION("GOOGLETRANSLATE(B77, ""RO"", ""EN"")"),"Corneliu Vadim Tudor")</f>
        <v>Corneliu Vadim Tudor</v>
      </c>
      <c r="D77" s="5" t="str">
        <f>IFERROR(__xludf.DUMMYFUNCTION("IF(O77&lt;&gt;"""", GOOGLETRANSLATE(O77, ""RO"", ""EN""), """")"),"I do not like it at all")</f>
        <v>I do not like it at all</v>
      </c>
      <c r="E77" s="6" t="str">
        <f>IFERROR(__xludf.DUMMYFUNCTION("IF(P77&lt;&gt;"""", GOOGLETRANSLATE(P77, ""RO"", ""EN""), """")"),"1")</f>
        <v>1</v>
      </c>
      <c r="F77" s="5" t="str">
        <f>IFERROR(__xludf.DUMMYFUNCTION("IF(Q77&lt;&gt;"""", GOOGLETRANSLATE(Q77, ""RO"", ""EN""), """")"),"2")</f>
        <v>2</v>
      </c>
      <c r="G77" s="5" t="str">
        <f>IFERROR(__xludf.DUMMYFUNCTION("IF(R77&lt;&gt;"""", GOOGLETRANSLATE(R77, ""RO"", ""EN""), """")"),"3")</f>
        <v>3</v>
      </c>
      <c r="H77" s="5" t="str">
        <f>IFERROR(__xludf.DUMMYFUNCTION("IF(U77&lt;&gt;"""", GOOGLETRANSLATE(U77, ""RO"", ""EN""), """")"),"4")</f>
        <v>4</v>
      </c>
      <c r="I77" s="5" t="str">
        <f>IFERROR(__xludf.DUMMYFUNCTION("IF(V77&lt;&gt;"""", GOOGLETRANSLATE(V77, ""RO"", ""EN""), """")"),"5")</f>
        <v>5</v>
      </c>
      <c r="J77" s="5" t="str">
        <f>IFERROR(__xludf.DUMMYFUNCTION("IF(W77&lt;&gt;"""", GOOGLETRANSLATE(W77, ""RO"", ""EN""), """")"),"6")</f>
        <v>6</v>
      </c>
      <c r="K77" s="5" t="str">
        <f>IFERROR(__xludf.DUMMYFUNCTION("IF(X77&lt;&gt;"""", GOOGLETRANSLATE(X77, ""RO"", ""EN""), """")"),"7")</f>
        <v>7</v>
      </c>
      <c r="L77" s="5" t="str">
        <f>IFERROR(__xludf.DUMMYFUNCTION("IF(S77&lt;&gt;"""", GOOGLETRANSLATE(S77, ""RO"", ""EN""), """")"),"8")</f>
        <v>8</v>
      </c>
      <c r="M77" s="5" t="str">
        <f>IFERROR(__xludf.DUMMYFUNCTION("IF(T77&lt;&gt;"""", GOOGLETRANSLATE(T77, ""RO"", ""EN""), """")"),"9")</f>
        <v>9</v>
      </c>
      <c r="N77" s="5" t="str">
        <f>IFERROR(__xludf.DUMMYFUNCTION("IF(Y77&lt;&gt;"""", GOOGLETRANSLATE(Y77, ""RO"", ""EN""), """")"),"I really like")</f>
        <v>I really like</v>
      </c>
      <c r="O77" s="4" t="s">
        <v>313</v>
      </c>
      <c r="P77" s="4" t="s">
        <v>168</v>
      </c>
      <c r="Q77" s="4" t="s">
        <v>169</v>
      </c>
      <c r="R77" s="4" t="s">
        <v>170</v>
      </c>
      <c r="S77" s="4" t="s">
        <v>171</v>
      </c>
      <c r="T77" s="4" t="s">
        <v>172</v>
      </c>
      <c r="U77" s="4" t="s">
        <v>173</v>
      </c>
      <c r="V77" s="4" t="s">
        <v>174</v>
      </c>
      <c r="W77" s="4" t="s">
        <v>175</v>
      </c>
      <c r="X77" s="4" t="s">
        <v>176</v>
      </c>
      <c r="Y77" s="4" t="s">
        <v>314</v>
      </c>
      <c r="Z77" s="4" t="s">
        <v>315</v>
      </c>
      <c r="AA77" s="4" t="s">
        <v>103</v>
      </c>
      <c r="AB77" s="4" t="s">
        <v>104</v>
      </c>
    </row>
    <row r="78" ht="15.75" customHeight="1">
      <c r="A78" s="4" t="s">
        <v>321</v>
      </c>
      <c r="B78" s="4" t="s">
        <v>225</v>
      </c>
      <c r="C78" s="4" t="str">
        <f>IFERROR(__xludf.DUMMYFUNCTION("GOOGLETRANSLATE(B78, ""RO"", ""EN"")"),"Kelemen Hunor")</f>
        <v>Kelemen Hunor</v>
      </c>
      <c r="D78" s="5" t="str">
        <f>IFERROR(__xludf.DUMMYFUNCTION("IF(O78&lt;&gt;"""", GOOGLETRANSLATE(O78, ""RO"", ""EN""), """")"),"I do not like it at all")</f>
        <v>I do not like it at all</v>
      </c>
      <c r="E78" s="6" t="str">
        <f>IFERROR(__xludf.DUMMYFUNCTION("IF(P78&lt;&gt;"""", GOOGLETRANSLATE(P78, ""RO"", ""EN""), """")"),"1")</f>
        <v>1</v>
      </c>
      <c r="F78" s="5" t="str">
        <f>IFERROR(__xludf.DUMMYFUNCTION("IF(Q78&lt;&gt;"""", GOOGLETRANSLATE(Q78, ""RO"", ""EN""), """")"),"2")</f>
        <v>2</v>
      </c>
      <c r="G78" s="5" t="str">
        <f>IFERROR(__xludf.DUMMYFUNCTION("IF(R78&lt;&gt;"""", GOOGLETRANSLATE(R78, ""RO"", ""EN""), """")"),"3")</f>
        <v>3</v>
      </c>
      <c r="H78" s="5" t="str">
        <f>IFERROR(__xludf.DUMMYFUNCTION("IF(U78&lt;&gt;"""", GOOGLETRANSLATE(U78, ""RO"", ""EN""), """")"),"4")</f>
        <v>4</v>
      </c>
      <c r="I78" s="5" t="str">
        <f>IFERROR(__xludf.DUMMYFUNCTION("IF(V78&lt;&gt;"""", GOOGLETRANSLATE(V78, ""RO"", ""EN""), """")"),"5")</f>
        <v>5</v>
      </c>
      <c r="J78" s="5" t="str">
        <f>IFERROR(__xludf.DUMMYFUNCTION("IF(W78&lt;&gt;"""", GOOGLETRANSLATE(W78, ""RO"", ""EN""), """")"),"6")</f>
        <v>6</v>
      </c>
      <c r="K78" s="5" t="str">
        <f>IFERROR(__xludf.DUMMYFUNCTION("IF(X78&lt;&gt;"""", GOOGLETRANSLATE(X78, ""RO"", ""EN""), """")"),"7")</f>
        <v>7</v>
      </c>
      <c r="L78" s="5" t="str">
        <f>IFERROR(__xludf.DUMMYFUNCTION("IF(S78&lt;&gt;"""", GOOGLETRANSLATE(S78, ""RO"", ""EN""), """")"),"8")</f>
        <v>8</v>
      </c>
      <c r="M78" s="5" t="str">
        <f>IFERROR(__xludf.DUMMYFUNCTION("IF(T78&lt;&gt;"""", GOOGLETRANSLATE(T78, ""RO"", ""EN""), """")"),"9")</f>
        <v>9</v>
      </c>
      <c r="N78" s="5" t="str">
        <f>IFERROR(__xludf.DUMMYFUNCTION("IF(Y78&lt;&gt;"""", GOOGLETRANSLATE(Y78, ""RO"", ""EN""), """")"),"I really like")</f>
        <v>I really like</v>
      </c>
      <c r="O78" s="4" t="s">
        <v>313</v>
      </c>
      <c r="P78" s="4" t="s">
        <v>168</v>
      </c>
      <c r="Q78" s="4" t="s">
        <v>169</v>
      </c>
      <c r="R78" s="4" t="s">
        <v>170</v>
      </c>
      <c r="S78" s="4" t="s">
        <v>171</v>
      </c>
      <c r="T78" s="4" t="s">
        <v>172</v>
      </c>
      <c r="U78" s="4" t="s">
        <v>173</v>
      </c>
      <c r="V78" s="4" t="s">
        <v>174</v>
      </c>
      <c r="W78" s="4" t="s">
        <v>175</v>
      </c>
      <c r="X78" s="4" t="s">
        <v>176</v>
      </c>
      <c r="Y78" s="4" t="s">
        <v>314</v>
      </c>
      <c r="Z78" s="4" t="s">
        <v>315</v>
      </c>
      <c r="AA78" s="4" t="s">
        <v>103</v>
      </c>
      <c r="AB78" s="4" t="s">
        <v>104</v>
      </c>
    </row>
    <row r="79" ht="15.75" customHeight="1">
      <c r="A79" s="4" t="s">
        <v>322</v>
      </c>
      <c r="B79" s="4" t="s">
        <v>226</v>
      </c>
      <c r="C79" s="4" t="str">
        <f>IFERROR(__xludf.DUMMYFUNCTION("GOOGLETRANSLATE(B79, ""RO"", ""EN"")"),"George Becali")</f>
        <v>George Becali</v>
      </c>
      <c r="D79" s="5" t="str">
        <f>IFERROR(__xludf.DUMMYFUNCTION("IF(O79&lt;&gt;"""", GOOGLETRANSLATE(O79, ""RO"", ""EN""), """")"),"I do not like it at all")</f>
        <v>I do not like it at all</v>
      </c>
      <c r="E79" s="6" t="str">
        <f>IFERROR(__xludf.DUMMYFUNCTION("IF(P79&lt;&gt;"""", GOOGLETRANSLATE(P79, ""RO"", ""EN""), """")"),"1")</f>
        <v>1</v>
      </c>
      <c r="F79" s="5" t="str">
        <f>IFERROR(__xludf.DUMMYFUNCTION("IF(Q79&lt;&gt;"""", GOOGLETRANSLATE(Q79, ""RO"", ""EN""), """")"),"2")</f>
        <v>2</v>
      </c>
      <c r="G79" s="5" t="str">
        <f>IFERROR(__xludf.DUMMYFUNCTION("IF(R79&lt;&gt;"""", GOOGLETRANSLATE(R79, ""RO"", ""EN""), """")"),"3")</f>
        <v>3</v>
      </c>
      <c r="H79" s="5" t="str">
        <f>IFERROR(__xludf.DUMMYFUNCTION("IF(U79&lt;&gt;"""", GOOGLETRANSLATE(U79, ""RO"", ""EN""), """")"),"4")</f>
        <v>4</v>
      </c>
      <c r="I79" s="5" t="str">
        <f>IFERROR(__xludf.DUMMYFUNCTION("IF(V79&lt;&gt;"""", GOOGLETRANSLATE(V79, ""RO"", ""EN""), """")"),"5")</f>
        <v>5</v>
      </c>
      <c r="J79" s="5" t="str">
        <f>IFERROR(__xludf.DUMMYFUNCTION("IF(W79&lt;&gt;"""", GOOGLETRANSLATE(W79, ""RO"", ""EN""), """")"),"6")</f>
        <v>6</v>
      </c>
      <c r="K79" s="5" t="str">
        <f>IFERROR(__xludf.DUMMYFUNCTION("IF(X79&lt;&gt;"""", GOOGLETRANSLATE(X79, ""RO"", ""EN""), """")"),"7")</f>
        <v>7</v>
      </c>
      <c r="L79" s="5" t="str">
        <f>IFERROR(__xludf.DUMMYFUNCTION("IF(S79&lt;&gt;"""", GOOGLETRANSLATE(S79, ""RO"", ""EN""), """")"),"8")</f>
        <v>8</v>
      </c>
      <c r="M79" s="5" t="str">
        <f>IFERROR(__xludf.DUMMYFUNCTION("IF(T79&lt;&gt;"""", GOOGLETRANSLATE(T79, ""RO"", ""EN""), """")"),"9")</f>
        <v>9</v>
      </c>
      <c r="N79" s="5" t="str">
        <f>IFERROR(__xludf.DUMMYFUNCTION("IF(Y79&lt;&gt;"""", GOOGLETRANSLATE(Y79, ""RO"", ""EN""), """")"),"I really like")</f>
        <v>I really like</v>
      </c>
      <c r="O79" s="4" t="s">
        <v>313</v>
      </c>
      <c r="P79" s="4" t="s">
        <v>168</v>
      </c>
      <c r="Q79" s="4" t="s">
        <v>169</v>
      </c>
      <c r="R79" s="4" t="s">
        <v>170</v>
      </c>
      <c r="S79" s="4" t="s">
        <v>171</v>
      </c>
      <c r="T79" s="4" t="s">
        <v>172</v>
      </c>
      <c r="U79" s="4" t="s">
        <v>173</v>
      </c>
      <c r="V79" s="4" t="s">
        <v>174</v>
      </c>
      <c r="W79" s="4" t="s">
        <v>175</v>
      </c>
      <c r="X79" s="4" t="s">
        <v>176</v>
      </c>
      <c r="Y79" s="4" t="s">
        <v>314</v>
      </c>
      <c r="Z79" s="4" t="s">
        <v>315</v>
      </c>
      <c r="AA79" s="4" t="s">
        <v>103</v>
      </c>
      <c r="AB79" s="4" t="s">
        <v>104</v>
      </c>
    </row>
    <row r="80" ht="15.75" customHeight="1">
      <c r="A80" s="4" t="s">
        <v>323</v>
      </c>
      <c r="B80" s="4" t="s">
        <v>324</v>
      </c>
      <c r="C80" s="4" t="str">
        <f>IFERROR(__xludf.DUMMYFUNCTION("GOOGLETRANSLATE(B80, ""RO"", ""EN"")"),"Constantin Cristea")</f>
        <v>Constantin Cristea</v>
      </c>
      <c r="D80" s="5" t="str">
        <f>IFERROR(__xludf.DUMMYFUNCTION("IF(O80&lt;&gt;"""", GOOGLETRANSLATE(O80, ""RO"", ""EN""), """")"),"I do not like it at all")</f>
        <v>I do not like it at all</v>
      </c>
      <c r="E80" s="6" t="str">
        <f>IFERROR(__xludf.DUMMYFUNCTION("IF(P80&lt;&gt;"""", GOOGLETRANSLATE(P80, ""RO"", ""EN""), """")"),"1")</f>
        <v>1</v>
      </c>
      <c r="F80" s="5" t="str">
        <f>IFERROR(__xludf.DUMMYFUNCTION("IF(Q80&lt;&gt;"""", GOOGLETRANSLATE(Q80, ""RO"", ""EN""), """")"),"2")</f>
        <v>2</v>
      </c>
      <c r="G80" s="5" t="str">
        <f>IFERROR(__xludf.DUMMYFUNCTION("IF(R80&lt;&gt;"""", GOOGLETRANSLATE(R80, ""RO"", ""EN""), """")"),"3")</f>
        <v>3</v>
      </c>
      <c r="H80" s="5" t="str">
        <f>IFERROR(__xludf.DUMMYFUNCTION("IF(U80&lt;&gt;"""", GOOGLETRANSLATE(U80, ""RO"", ""EN""), """")"),"4")</f>
        <v>4</v>
      </c>
      <c r="I80" s="5" t="str">
        <f>IFERROR(__xludf.DUMMYFUNCTION("IF(V80&lt;&gt;"""", GOOGLETRANSLATE(V80, ""RO"", ""EN""), """")"),"5")</f>
        <v>5</v>
      </c>
      <c r="J80" s="5" t="str">
        <f>IFERROR(__xludf.DUMMYFUNCTION("IF(W80&lt;&gt;"""", GOOGLETRANSLATE(W80, ""RO"", ""EN""), """")"),"6")</f>
        <v>6</v>
      </c>
      <c r="K80" s="5" t="str">
        <f>IFERROR(__xludf.DUMMYFUNCTION("IF(X80&lt;&gt;"""", GOOGLETRANSLATE(X80, ""RO"", ""EN""), """")"),"7")</f>
        <v>7</v>
      </c>
      <c r="L80" s="5" t="str">
        <f>IFERROR(__xludf.DUMMYFUNCTION("IF(S80&lt;&gt;"""", GOOGLETRANSLATE(S80, ""RO"", ""EN""), """")"),"8")</f>
        <v>8</v>
      </c>
      <c r="M80" s="5" t="str">
        <f>IFERROR(__xludf.DUMMYFUNCTION("IF(T80&lt;&gt;"""", GOOGLETRANSLATE(T80, ""RO"", ""EN""), """")"),"9")</f>
        <v>9</v>
      </c>
      <c r="N80" s="5" t="str">
        <f>IFERROR(__xludf.DUMMYFUNCTION("IF(Y80&lt;&gt;"""", GOOGLETRANSLATE(Y80, ""RO"", ""EN""), """")"),"I really like")</f>
        <v>I really like</v>
      </c>
      <c r="O80" s="4" t="s">
        <v>313</v>
      </c>
      <c r="P80" s="4" t="s">
        <v>168</v>
      </c>
      <c r="Q80" s="4" t="s">
        <v>169</v>
      </c>
      <c r="R80" s="4" t="s">
        <v>170</v>
      </c>
      <c r="S80" s="4" t="s">
        <v>171</v>
      </c>
      <c r="T80" s="4" t="s">
        <v>172</v>
      </c>
      <c r="U80" s="4" t="s">
        <v>173</v>
      </c>
      <c r="V80" s="4" t="s">
        <v>174</v>
      </c>
      <c r="W80" s="4" t="s">
        <v>175</v>
      </c>
      <c r="X80" s="4" t="s">
        <v>176</v>
      </c>
      <c r="Y80" s="4" t="s">
        <v>314</v>
      </c>
      <c r="Z80" s="4" t="s">
        <v>315</v>
      </c>
      <c r="AA80" s="4" t="s">
        <v>103</v>
      </c>
      <c r="AB80" s="4" t="s">
        <v>104</v>
      </c>
    </row>
    <row r="81" ht="15.75" customHeight="1">
      <c r="A81" s="4" t="s">
        <v>325</v>
      </c>
      <c r="B81" s="4" t="s">
        <v>326</v>
      </c>
      <c r="C81" s="4" t="str">
        <f>IFERROR(__xludf.DUMMYFUNCTION("GOOGLETRANSLATE(B81, ""RO"", ""EN"")"),"What do you like most about ...? Mircea Geoana")</f>
        <v>What do you like most about ...? Mircea Geoana</v>
      </c>
      <c r="D81" s="5" t="str">
        <f>IFERROR(__xludf.DUMMYFUNCTION("IF(O81&lt;&gt;"""", GOOGLETRANSLATE(O81, ""RO"", ""EN""), """")"),"")</f>
        <v/>
      </c>
      <c r="E81" s="6" t="str">
        <f>IFERROR(__xludf.DUMMYFUNCTION("IF(P81&lt;&gt;"""", GOOGLETRANSLATE(P81, ""RO"", ""EN""), """")"),"")</f>
        <v/>
      </c>
      <c r="F81" s="5" t="str">
        <f>IFERROR(__xludf.DUMMYFUNCTION("IF(Q81&lt;&gt;"""", GOOGLETRANSLATE(Q81, ""RO"", ""EN""), """")"),"")</f>
        <v/>
      </c>
      <c r="G81" s="5" t="str">
        <f>IFERROR(__xludf.DUMMYFUNCTION("IF(R81&lt;&gt;"""", GOOGLETRANSLATE(R81, ""RO"", ""EN""), """")"),"")</f>
        <v/>
      </c>
      <c r="H81" s="5" t="str">
        <f>IFERROR(__xludf.DUMMYFUNCTION("IF(U81&lt;&gt;"""", GOOGLETRANSLATE(U81, ""RO"", ""EN""), """")"),"")</f>
        <v/>
      </c>
      <c r="I81" s="5" t="str">
        <f>IFERROR(__xludf.DUMMYFUNCTION("IF(V81&lt;&gt;"""", GOOGLETRANSLATE(V81, ""RO"", ""EN""), """")"),"")</f>
        <v/>
      </c>
      <c r="J81" s="5" t="str">
        <f>IFERROR(__xludf.DUMMYFUNCTION("IF(W81&lt;&gt;"""", GOOGLETRANSLATE(W81, ""RO"", ""EN""), """")"),"")</f>
        <v/>
      </c>
      <c r="K81" s="5" t="str">
        <f>IFERROR(__xludf.DUMMYFUNCTION("IF(X81&lt;&gt;"""", GOOGLETRANSLATE(X81, ""RO"", ""EN""), """")"),"")</f>
        <v/>
      </c>
      <c r="L81" s="5" t="str">
        <f>IFERROR(__xludf.DUMMYFUNCTION("IF(S81&lt;&gt;"""", GOOGLETRANSLATE(S81, ""RO"", ""EN""), """")"),"")</f>
        <v/>
      </c>
      <c r="M81" s="5" t="str">
        <f>IFERROR(__xludf.DUMMYFUNCTION("IF(T81&lt;&gt;"""", GOOGLETRANSLATE(T81, ""RO"", ""EN""), """")"),"")</f>
        <v/>
      </c>
      <c r="N81" s="5" t="str">
        <f>IFERROR(__xludf.DUMMYFUNCTION("IF(Y81&lt;&gt;"""", GOOGLETRANSLATE(Y81, ""RO"", ""EN""), """")"),"")</f>
        <v/>
      </c>
    </row>
    <row r="82" ht="15.75" customHeight="1">
      <c r="A82" s="4" t="s">
        <v>327</v>
      </c>
      <c r="B82" s="4" t="s">
        <v>328</v>
      </c>
      <c r="C82" s="4" t="str">
        <f>IFERROR(__xludf.DUMMYFUNCTION("GOOGLETRANSLATE(B82, ""RO"", ""EN"")"),"What you don't like most about ...? Mircea Geoana")</f>
        <v>What you don't like most about ...? Mircea Geoana</v>
      </c>
      <c r="D82" s="5" t="str">
        <f>IFERROR(__xludf.DUMMYFUNCTION("IF(O82&lt;&gt;"""", GOOGLETRANSLATE(O82, ""RO"", ""EN""), """")"),"")</f>
        <v/>
      </c>
      <c r="E82" s="6" t="str">
        <f>IFERROR(__xludf.DUMMYFUNCTION("IF(P82&lt;&gt;"""", GOOGLETRANSLATE(P82, ""RO"", ""EN""), """")"),"")</f>
        <v/>
      </c>
      <c r="F82" s="5" t="str">
        <f>IFERROR(__xludf.DUMMYFUNCTION("IF(Q82&lt;&gt;"""", GOOGLETRANSLATE(Q82, ""RO"", ""EN""), """")"),"")</f>
        <v/>
      </c>
      <c r="G82" s="5" t="str">
        <f>IFERROR(__xludf.DUMMYFUNCTION("IF(R82&lt;&gt;"""", GOOGLETRANSLATE(R82, ""RO"", ""EN""), """")"),"")</f>
        <v/>
      </c>
      <c r="H82" s="5" t="str">
        <f>IFERROR(__xludf.DUMMYFUNCTION("IF(U82&lt;&gt;"""", GOOGLETRANSLATE(U82, ""RO"", ""EN""), """")"),"")</f>
        <v/>
      </c>
      <c r="I82" s="5" t="str">
        <f>IFERROR(__xludf.DUMMYFUNCTION("IF(V82&lt;&gt;"""", GOOGLETRANSLATE(V82, ""RO"", ""EN""), """")"),"")</f>
        <v/>
      </c>
      <c r="J82" s="5" t="str">
        <f>IFERROR(__xludf.DUMMYFUNCTION("IF(W82&lt;&gt;"""", GOOGLETRANSLATE(W82, ""RO"", ""EN""), """")"),"")</f>
        <v/>
      </c>
      <c r="K82" s="5" t="str">
        <f>IFERROR(__xludf.DUMMYFUNCTION("IF(X82&lt;&gt;"""", GOOGLETRANSLATE(X82, ""RO"", ""EN""), """")"),"")</f>
        <v/>
      </c>
      <c r="L82" s="5" t="str">
        <f>IFERROR(__xludf.DUMMYFUNCTION("IF(S82&lt;&gt;"""", GOOGLETRANSLATE(S82, ""RO"", ""EN""), """")"),"")</f>
        <v/>
      </c>
      <c r="M82" s="5" t="str">
        <f>IFERROR(__xludf.DUMMYFUNCTION("IF(T82&lt;&gt;"""", GOOGLETRANSLATE(T82, ""RO"", ""EN""), """")"),"")</f>
        <v/>
      </c>
      <c r="N82" s="5" t="str">
        <f>IFERROR(__xludf.DUMMYFUNCTION("IF(Y82&lt;&gt;"""", GOOGLETRANSLATE(Y82, ""RO"", ""EN""), """")"),"")</f>
        <v/>
      </c>
    </row>
    <row r="83" ht="15.75" customHeight="1">
      <c r="A83" s="4" t="s">
        <v>329</v>
      </c>
      <c r="B83" s="4" t="s">
        <v>330</v>
      </c>
      <c r="C83" s="4" t="str">
        <f>IFERROR(__xludf.DUMMYFUNCTION("GOOGLETRANSLATE(B83, ""RO"", ""EN"")"),"What do you like most about ...? Crin Antonescu")</f>
        <v>What do you like most about ...? Crin Antonescu</v>
      </c>
      <c r="D83" s="5" t="str">
        <f>IFERROR(__xludf.DUMMYFUNCTION("IF(O83&lt;&gt;"""", GOOGLETRANSLATE(O83, ""RO"", ""EN""), """")"),"")</f>
        <v/>
      </c>
      <c r="E83" s="6" t="str">
        <f>IFERROR(__xludf.DUMMYFUNCTION("IF(P83&lt;&gt;"""", GOOGLETRANSLATE(P83, ""RO"", ""EN""), """")"),"")</f>
        <v/>
      </c>
      <c r="F83" s="5" t="str">
        <f>IFERROR(__xludf.DUMMYFUNCTION("IF(Q83&lt;&gt;"""", GOOGLETRANSLATE(Q83, ""RO"", ""EN""), """")"),"")</f>
        <v/>
      </c>
      <c r="G83" s="5" t="str">
        <f>IFERROR(__xludf.DUMMYFUNCTION("IF(R83&lt;&gt;"""", GOOGLETRANSLATE(R83, ""RO"", ""EN""), """")"),"")</f>
        <v/>
      </c>
      <c r="H83" s="5" t="str">
        <f>IFERROR(__xludf.DUMMYFUNCTION("IF(U83&lt;&gt;"""", GOOGLETRANSLATE(U83, ""RO"", ""EN""), """")"),"")</f>
        <v/>
      </c>
      <c r="I83" s="5" t="str">
        <f>IFERROR(__xludf.DUMMYFUNCTION("IF(V83&lt;&gt;"""", GOOGLETRANSLATE(V83, ""RO"", ""EN""), """")"),"")</f>
        <v/>
      </c>
      <c r="J83" s="5" t="str">
        <f>IFERROR(__xludf.DUMMYFUNCTION("IF(W83&lt;&gt;"""", GOOGLETRANSLATE(W83, ""RO"", ""EN""), """")"),"")</f>
        <v/>
      </c>
      <c r="K83" s="5" t="str">
        <f>IFERROR(__xludf.DUMMYFUNCTION("IF(X83&lt;&gt;"""", GOOGLETRANSLATE(X83, ""RO"", ""EN""), """")"),"")</f>
        <v/>
      </c>
      <c r="L83" s="5" t="str">
        <f>IFERROR(__xludf.DUMMYFUNCTION("IF(S83&lt;&gt;"""", GOOGLETRANSLATE(S83, ""RO"", ""EN""), """")"),"")</f>
        <v/>
      </c>
      <c r="M83" s="5" t="str">
        <f>IFERROR(__xludf.DUMMYFUNCTION("IF(T83&lt;&gt;"""", GOOGLETRANSLATE(T83, ""RO"", ""EN""), """")"),"")</f>
        <v/>
      </c>
      <c r="N83" s="5" t="str">
        <f>IFERROR(__xludf.DUMMYFUNCTION("IF(Y83&lt;&gt;"""", GOOGLETRANSLATE(Y83, ""RO"", ""EN""), """")"),"")</f>
        <v/>
      </c>
    </row>
    <row r="84" ht="15.75" customHeight="1">
      <c r="A84" s="4" t="s">
        <v>331</v>
      </c>
      <c r="B84" s="4" t="s">
        <v>332</v>
      </c>
      <c r="C84" s="4" t="str">
        <f>IFERROR(__xludf.DUMMYFUNCTION("GOOGLETRANSLATE(B84, ""RO"", ""EN"")"),"What you don't like most about ...? Crin Antonescu")</f>
        <v>What you don't like most about ...? Crin Antonescu</v>
      </c>
      <c r="D84" s="5" t="str">
        <f>IFERROR(__xludf.DUMMYFUNCTION("IF(O84&lt;&gt;"""", GOOGLETRANSLATE(O84, ""RO"", ""EN""), """")"),"")</f>
        <v/>
      </c>
      <c r="E84" s="6" t="str">
        <f>IFERROR(__xludf.DUMMYFUNCTION("IF(P84&lt;&gt;"""", GOOGLETRANSLATE(P84, ""RO"", ""EN""), """")"),"")</f>
        <v/>
      </c>
      <c r="F84" s="5" t="str">
        <f>IFERROR(__xludf.DUMMYFUNCTION("IF(Q84&lt;&gt;"""", GOOGLETRANSLATE(Q84, ""RO"", ""EN""), """")"),"")</f>
        <v/>
      </c>
      <c r="G84" s="5" t="str">
        <f>IFERROR(__xludf.DUMMYFUNCTION("IF(R84&lt;&gt;"""", GOOGLETRANSLATE(R84, ""RO"", ""EN""), """")"),"")</f>
        <v/>
      </c>
      <c r="H84" s="5" t="str">
        <f>IFERROR(__xludf.DUMMYFUNCTION("IF(U84&lt;&gt;"""", GOOGLETRANSLATE(U84, ""RO"", ""EN""), """")"),"")</f>
        <v/>
      </c>
      <c r="I84" s="5" t="str">
        <f>IFERROR(__xludf.DUMMYFUNCTION("IF(V84&lt;&gt;"""", GOOGLETRANSLATE(V84, ""RO"", ""EN""), """")"),"")</f>
        <v/>
      </c>
      <c r="J84" s="5" t="str">
        <f>IFERROR(__xludf.DUMMYFUNCTION("IF(W84&lt;&gt;"""", GOOGLETRANSLATE(W84, ""RO"", ""EN""), """")"),"")</f>
        <v/>
      </c>
      <c r="K84" s="5" t="str">
        <f>IFERROR(__xludf.DUMMYFUNCTION("IF(X84&lt;&gt;"""", GOOGLETRANSLATE(X84, ""RO"", ""EN""), """")"),"")</f>
        <v/>
      </c>
      <c r="L84" s="5" t="str">
        <f>IFERROR(__xludf.DUMMYFUNCTION("IF(S84&lt;&gt;"""", GOOGLETRANSLATE(S84, ""RO"", ""EN""), """")"),"")</f>
        <v/>
      </c>
      <c r="M84" s="5" t="str">
        <f>IFERROR(__xludf.DUMMYFUNCTION("IF(T84&lt;&gt;"""", GOOGLETRANSLATE(T84, ""RO"", ""EN""), """")"),"")</f>
        <v/>
      </c>
      <c r="N84" s="5" t="str">
        <f>IFERROR(__xludf.DUMMYFUNCTION("IF(Y84&lt;&gt;"""", GOOGLETRANSLATE(Y84, ""RO"", ""EN""), """")"),"")</f>
        <v/>
      </c>
    </row>
    <row r="85" ht="15.75" customHeight="1">
      <c r="A85" s="4" t="s">
        <v>333</v>
      </c>
      <c r="B85" s="4" t="s">
        <v>334</v>
      </c>
      <c r="C85" s="4" t="str">
        <f>IFERROR(__xludf.DUMMYFUNCTION("GOOGLETRANSLATE(B85, ""RO"", ""EN"")"),"What do you like most about ...? Traian Basescu")</f>
        <v>What do you like most about ...? Traian Basescu</v>
      </c>
      <c r="D85" s="5" t="str">
        <f>IFERROR(__xludf.DUMMYFUNCTION("IF(O85&lt;&gt;"""", GOOGLETRANSLATE(O85, ""RO"", ""EN""), """")"),"")</f>
        <v/>
      </c>
      <c r="E85" s="6" t="str">
        <f>IFERROR(__xludf.DUMMYFUNCTION("IF(P85&lt;&gt;"""", GOOGLETRANSLATE(P85, ""RO"", ""EN""), """")"),"")</f>
        <v/>
      </c>
      <c r="F85" s="5" t="str">
        <f>IFERROR(__xludf.DUMMYFUNCTION("IF(Q85&lt;&gt;"""", GOOGLETRANSLATE(Q85, ""RO"", ""EN""), """")"),"")</f>
        <v/>
      </c>
      <c r="G85" s="5" t="str">
        <f>IFERROR(__xludf.DUMMYFUNCTION("IF(R85&lt;&gt;"""", GOOGLETRANSLATE(R85, ""RO"", ""EN""), """")"),"")</f>
        <v/>
      </c>
      <c r="H85" s="5" t="str">
        <f>IFERROR(__xludf.DUMMYFUNCTION("IF(U85&lt;&gt;"""", GOOGLETRANSLATE(U85, ""RO"", ""EN""), """")"),"")</f>
        <v/>
      </c>
      <c r="I85" s="5" t="str">
        <f>IFERROR(__xludf.DUMMYFUNCTION("IF(V85&lt;&gt;"""", GOOGLETRANSLATE(V85, ""RO"", ""EN""), """")"),"")</f>
        <v/>
      </c>
      <c r="J85" s="5" t="str">
        <f>IFERROR(__xludf.DUMMYFUNCTION("IF(W85&lt;&gt;"""", GOOGLETRANSLATE(W85, ""RO"", ""EN""), """")"),"")</f>
        <v/>
      </c>
      <c r="K85" s="5" t="str">
        <f>IFERROR(__xludf.DUMMYFUNCTION("IF(X85&lt;&gt;"""", GOOGLETRANSLATE(X85, ""RO"", ""EN""), """")"),"")</f>
        <v/>
      </c>
      <c r="L85" s="5" t="str">
        <f>IFERROR(__xludf.DUMMYFUNCTION("IF(S85&lt;&gt;"""", GOOGLETRANSLATE(S85, ""RO"", ""EN""), """")"),"")</f>
        <v/>
      </c>
      <c r="M85" s="5" t="str">
        <f>IFERROR(__xludf.DUMMYFUNCTION("IF(T85&lt;&gt;"""", GOOGLETRANSLATE(T85, ""RO"", ""EN""), """")"),"")</f>
        <v/>
      </c>
      <c r="N85" s="5" t="str">
        <f>IFERROR(__xludf.DUMMYFUNCTION("IF(Y85&lt;&gt;"""", GOOGLETRANSLATE(Y85, ""RO"", ""EN""), """")"),"")</f>
        <v/>
      </c>
    </row>
    <row r="86" ht="15.75" customHeight="1">
      <c r="A86" s="4" t="s">
        <v>335</v>
      </c>
      <c r="B86" s="4" t="s">
        <v>336</v>
      </c>
      <c r="C86" s="4" t="str">
        <f>IFERROR(__xludf.DUMMYFUNCTION("GOOGLETRANSLATE(B86, ""RO"", ""EN"")"),"What you don't like most about ...? Traian Basescu")</f>
        <v>What you don't like most about ...? Traian Basescu</v>
      </c>
      <c r="D86" s="5" t="str">
        <f>IFERROR(__xludf.DUMMYFUNCTION("IF(O86&lt;&gt;"""", GOOGLETRANSLATE(O86, ""RO"", ""EN""), """")"),"")</f>
        <v/>
      </c>
      <c r="E86" s="6" t="str">
        <f>IFERROR(__xludf.DUMMYFUNCTION("IF(P86&lt;&gt;"""", GOOGLETRANSLATE(P86, ""RO"", ""EN""), """")"),"")</f>
        <v/>
      </c>
      <c r="F86" s="5" t="str">
        <f>IFERROR(__xludf.DUMMYFUNCTION("IF(Q86&lt;&gt;"""", GOOGLETRANSLATE(Q86, ""RO"", ""EN""), """")"),"")</f>
        <v/>
      </c>
      <c r="G86" s="5" t="str">
        <f>IFERROR(__xludf.DUMMYFUNCTION("IF(R86&lt;&gt;"""", GOOGLETRANSLATE(R86, ""RO"", ""EN""), """")"),"")</f>
        <v/>
      </c>
      <c r="H86" s="5" t="str">
        <f>IFERROR(__xludf.DUMMYFUNCTION("IF(U86&lt;&gt;"""", GOOGLETRANSLATE(U86, ""RO"", ""EN""), """")"),"")</f>
        <v/>
      </c>
      <c r="I86" s="5" t="str">
        <f>IFERROR(__xludf.DUMMYFUNCTION("IF(V86&lt;&gt;"""", GOOGLETRANSLATE(V86, ""RO"", ""EN""), """")"),"")</f>
        <v/>
      </c>
      <c r="J86" s="5" t="str">
        <f>IFERROR(__xludf.DUMMYFUNCTION("IF(W86&lt;&gt;"""", GOOGLETRANSLATE(W86, ""RO"", ""EN""), """")"),"")</f>
        <v/>
      </c>
      <c r="K86" s="5" t="str">
        <f>IFERROR(__xludf.DUMMYFUNCTION("IF(X86&lt;&gt;"""", GOOGLETRANSLATE(X86, ""RO"", ""EN""), """")"),"")</f>
        <v/>
      </c>
      <c r="L86" s="5" t="str">
        <f>IFERROR(__xludf.DUMMYFUNCTION("IF(S86&lt;&gt;"""", GOOGLETRANSLATE(S86, ""RO"", ""EN""), """")"),"")</f>
        <v/>
      </c>
      <c r="M86" s="5" t="str">
        <f>IFERROR(__xludf.DUMMYFUNCTION("IF(T86&lt;&gt;"""", GOOGLETRANSLATE(T86, ""RO"", ""EN""), """")"),"")</f>
        <v/>
      </c>
      <c r="N86" s="5" t="str">
        <f>IFERROR(__xludf.DUMMYFUNCTION("IF(Y86&lt;&gt;"""", GOOGLETRANSLATE(Y86, ""RO"", ""EN""), """")"),"")</f>
        <v/>
      </c>
    </row>
    <row r="87" ht="15.75" customHeight="1">
      <c r="A87" s="4" t="s">
        <v>337</v>
      </c>
      <c r="B87" s="4" t="s">
        <v>338</v>
      </c>
      <c r="C87" s="4" t="str">
        <f>IFERROR(__xludf.DUMMYFUNCTION("GOOGLETRANSLATE(B87, ""RO"", ""EN"")"),"What do you like most about ...? Sorin Oprescu")</f>
        <v>What do you like most about ...? Sorin Oprescu</v>
      </c>
      <c r="D87" s="5" t="str">
        <f>IFERROR(__xludf.DUMMYFUNCTION("IF(O87&lt;&gt;"""", GOOGLETRANSLATE(O87, ""RO"", ""EN""), """")"),"")</f>
        <v/>
      </c>
      <c r="E87" s="6" t="str">
        <f>IFERROR(__xludf.DUMMYFUNCTION("IF(P87&lt;&gt;"""", GOOGLETRANSLATE(P87, ""RO"", ""EN""), """")"),"")</f>
        <v/>
      </c>
      <c r="F87" s="5" t="str">
        <f>IFERROR(__xludf.DUMMYFUNCTION("IF(Q87&lt;&gt;"""", GOOGLETRANSLATE(Q87, ""RO"", ""EN""), """")"),"")</f>
        <v/>
      </c>
      <c r="G87" s="5" t="str">
        <f>IFERROR(__xludf.DUMMYFUNCTION("IF(R87&lt;&gt;"""", GOOGLETRANSLATE(R87, ""RO"", ""EN""), """")"),"")</f>
        <v/>
      </c>
      <c r="H87" s="5" t="str">
        <f>IFERROR(__xludf.DUMMYFUNCTION("IF(U87&lt;&gt;"""", GOOGLETRANSLATE(U87, ""RO"", ""EN""), """")"),"")</f>
        <v/>
      </c>
      <c r="I87" s="5" t="str">
        <f>IFERROR(__xludf.DUMMYFUNCTION("IF(V87&lt;&gt;"""", GOOGLETRANSLATE(V87, ""RO"", ""EN""), """")"),"")</f>
        <v/>
      </c>
      <c r="J87" s="5" t="str">
        <f>IFERROR(__xludf.DUMMYFUNCTION("IF(W87&lt;&gt;"""", GOOGLETRANSLATE(W87, ""RO"", ""EN""), """")"),"")</f>
        <v/>
      </c>
      <c r="K87" s="5" t="str">
        <f>IFERROR(__xludf.DUMMYFUNCTION("IF(X87&lt;&gt;"""", GOOGLETRANSLATE(X87, ""RO"", ""EN""), """")"),"")</f>
        <v/>
      </c>
      <c r="L87" s="5" t="str">
        <f>IFERROR(__xludf.DUMMYFUNCTION("IF(S87&lt;&gt;"""", GOOGLETRANSLATE(S87, ""RO"", ""EN""), """")"),"")</f>
        <v/>
      </c>
      <c r="M87" s="5" t="str">
        <f>IFERROR(__xludf.DUMMYFUNCTION("IF(T87&lt;&gt;"""", GOOGLETRANSLATE(T87, ""RO"", ""EN""), """")"),"")</f>
        <v/>
      </c>
      <c r="N87" s="5" t="str">
        <f>IFERROR(__xludf.DUMMYFUNCTION("IF(Y87&lt;&gt;"""", GOOGLETRANSLATE(Y87, ""RO"", ""EN""), """")"),"")</f>
        <v/>
      </c>
    </row>
    <row r="88" ht="15.75" customHeight="1">
      <c r="A88" s="4" t="s">
        <v>339</v>
      </c>
      <c r="B88" s="4" t="s">
        <v>340</v>
      </c>
      <c r="C88" s="4" t="str">
        <f>IFERROR(__xludf.DUMMYFUNCTION("GOOGLETRANSLATE(B88, ""RO"", ""EN"")"),"What you don't like most about ...? Sorin Oprescu")</f>
        <v>What you don't like most about ...? Sorin Oprescu</v>
      </c>
      <c r="D88" s="5" t="str">
        <f>IFERROR(__xludf.DUMMYFUNCTION("IF(O88&lt;&gt;"""", GOOGLETRANSLATE(O88, ""RO"", ""EN""), """")"),"")</f>
        <v/>
      </c>
      <c r="E88" s="6" t="str">
        <f>IFERROR(__xludf.DUMMYFUNCTION("IF(P88&lt;&gt;"""", GOOGLETRANSLATE(P88, ""RO"", ""EN""), """")"),"")</f>
        <v/>
      </c>
      <c r="F88" s="5" t="str">
        <f>IFERROR(__xludf.DUMMYFUNCTION("IF(Q88&lt;&gt;"""", GOOGLETRANSLATE(Q88, ""RO"", ""EN""), """")"),"")</f>
        <v/>
      </c>
      <c r="G88" s="5" t="str">
        <f>IFERROR(__xludf.DUMMYFUNCTION("IF(R88&lt;&gt;"""", GOOGLETRANSLATE(R88, ""RO"", ""EN""), """")"),"")</f>
        <v/>
      </c>
      <c r="H88" s="5" t="str">
        <f>IFERROR(__xludf.DUMMYFUNCTION("IF(U88&lt;&gt;"""", GOOGLETRANSLATE(U88, ""RO"", ""EN""), """")"),"")</f>
        <v/>
      </c>
      <c r="I88" s="5" t="str">
        <f>IFERROR(__xludf.DUMMYFUNCTION("IF(V88&lt;&gt;"""", GOOGLETRANSLATE(V88, ""RO"", ""EN""), """")"),"")</f>
        <v/>
      </c>
      <c r="J88" s="5" t="str">
        <f>IFERROR(__xludf.DUMMYFUNCTION("IF(W88&lt;&gt;"""", GOOGLETRANSLATE(W88, ""RO"", ""EN""), """")"),"")</f>
        <v/>
      </c>
      <c r="K88" s="5" t="str">
        <f>IFERROR(__xludf.DUMMYFUNCTION("IF(X88&lt;&gt;"""", GOOGLETRANSLATE(X88, ""RO"", ""EN""), """")"),"")</f>
        <v/>
      </c>
      <c r="L88" s="5" t="str">
        <f>IFERROR(__xludf.DUMMYFUNCTION("IF(S88&lt;&gt;"""", GOOGLETRANSLATE(S88, ""RO"", ""EN""), """")"),"")</f>
        <v/>
      </c>
      <c r="M88" s="5" t="str">
        <f>IFERROR(__xludf.DUMMYFUNCTION("IF(T88&lt;&gt;"""", GOOGLETRANSLATE(T88, ""RO"", ""EN""), """")"),"")</f>
        <v/>
      </c>
      <c r="N88" s="5" t="str">
        <f>IFERROR(__xludf.DUMMYFUNCTION("IF(Y88&lt;&gt;"""", GOOGLETRANSLATE(Y88, ""RO"", ""EN""), """")"),"")</f>
        <v/>
      </c>
    </row>
    <row r="89" ht="15.75" customHeight="1">
      <c r="A89" s="4" t="s">
        <v>341</v>
      </c>
      <c r="B89" s="4" t="s">
        <v>342</v>
      </c>
      <c r="C89" s="4" t="str">
        <f>IFERROR(__xludf.DUMMYFUNCTION("GOOGLETRANSLATE(B89, ""RO"", ""EN"")"),"On a scale from 0 to 10, where 0 means ""lacking in importance"" and 10 ""extremely important"", please appreciate how important it is that the future president of Romania will have each of these characteristics: to be honest")</f>
        <v>On a scale from 0 to 10, where 0 means "lacking in importance" and 10 "extremely important", please appreciate how important it is that the future president of Romania will have each of these characteristics: to be honest</v>
      </c>
      <c r="D89" s="5" t="str">
        <f>IFERROR(__xludf.DUMMYFUNCTION("IF(O89&lt;&gt;"""", GOOGLETRANSLATE(O89, ""RO"", ""EN""), """")"),"Unimportant")</f>
        <v>Unimportant</v>
      </c>
      <c r="E89" s="6" t="str">
        <f>IFERROR(__xludf.DUMMYFUNCTION("IF(P89&lt;&gt;"""", GOOGLETRANSLATE(P89, ""RO"", ""EN""), """")"),"1")</f>
        <v>1</v>
      </c>
      <c r="F89" s="5" t="str">
        <f>IFERROR(__xludf.DUMMYFUNCTION("IF(Q89&lt;&gt;"""", GOOGLETRANSLATE(Q89, ""RO"", ""EN""), """")"),"2")</f>
        <v>2</v>
      </c>
      <c r="G89" s="5" t="str">
        <f>IFERROR(__xludf.DUMMYFUNCTION("IF(R89&lt;&gt;"""", GOOGLETRANSLATE(R89, ""RO"", ""EN""), """")"),"3")</f>
        <v>3</v>
      </c>
      <c r="H89" s="5" t="str">
        <f>IFERROR(__xludf.DUMMYFUNCTION("IF(U89&lt;&gt;"""", GOOGLETRANSLATE(U89, ""RO"", ""EN""), """")"),"4")</f>
        <v>4</v>
      </c>
      <c r="I89" s="5" t="str">
        <f>IFERROR(__xludf.DUMMYFUNCTION("IF(V89&lt;&gt;"""", GOOGLETRANSLATE(V89, ""RO"", ""EN""), """")"),"5")</f>
        <v>5</v>
      </c>
      <c r="J89" s="5" t="str">
        <f>IFERROR(__xludf.DUMMYFUNCTION("IF(W89&lt;&gt;"""", GOOGLETRANSLATE(W89, ""RO"", ""EN""), """")"),"6")</f>
        <v>6</v>
      </c>
      <c r="K89" s="5" t="str">
        <f>IFERROR(__xludf.DUMMYFUNCTION("IF(X89&lt;&gt;"""", GOOGLETRANSLATE(X89, ""RO"", ""EN""), """")"),"7")</f>
        <v>7</v>
      </c>
      <c r="L89" s="5" t="str">
        <f>IFERROR(__xludf.DUMMYFUNCTION("IF(S89&lt;&gt;"""", GOOGLETRANSLATE(S89, ""RO"", ""EN""), """")"),"8")</f>
        <v>8</v>
      </c>
      <c r="M89" s="5" t="str">
        <f>IFERROR(__xludf.DUMMYFUNCTION("IF(T89&lt;&gt;"""", GOOGLETRANSLATE(T89, ""RO"", ""EN""), """")"),"9")</f>
        <v>9</v>
      </c>
      <c r="N89" s="5" t="str">
        <f>IFERROR(__xludf.DUMMYFUNCTION("IF(Y89&lt;&gt;"""", GOOGLETRANSLATE(Y89, ""RO"", ""EN""), """")"),"Extremely important")</f>
        <v>Extremely important</v>
      </c>
      <c r="O89" s="4" t="s">
        <v>343</v>
      </c>
      <c r="P89" s="4" t="s">
        <v>168</v>
      </c>
      <c r="Q89" s="4" t="s">
        <v>169</v>
      </c>
      <c r="R89" s="4" t="s">
        <v>170</v>
      </c>
      <c r="S89" s="4" t="s">
        <v>171</v>
      </c>
      <c r="T89" s="4" t="s">
        <v>172</v>
      </c>
      <c r="U89" s="4" t="s">
        <v>173</v>
      </c>
      <c r="V89" s="4" t="s">
        <v>174</v>
      </c>
      <c r="W89" s="4" t="s">
        <v>175</v>
      </c>
      <c r="X89" s="4" t="s">
        <v>176</v>
      </c>
      <c r="Y89" s="4" t="s">
        <v>344</v>
      </c>
      <c r="AA89" s="4" t="s">
        <v>103</v>
      </c>
      <c r="AB89" s="4" t="s">
        <v>104</v>
      </c>
    </row>
    <row r="90" ht="15.75" customHeight="1">
      <c r="A90" s="4" t="s">
        <v>345</v>
      </c>
      <c r="B90" s="4" t="s">
        <v>346</v>
      </c>
      <c r="C90" s="4" t="str">
        <f>IFERROR(__xludf.DUMMYFUNCTION("GOOGLETRANSLATE(B90, ""RO"", ""EN"")"),"Be cultured and educated")</f>
        <v>Be cultured and educated</v>
      </c>
      <c r="D90" s="5" t="str">
        <f>IFERROR(__xludf.DUMMYFUNCTION("IF(O90&lt;&gt;"""", GOOGLETRANSLATE(O90, ""RO"", ""EN""), """")"),"Unimportant")</f>
        <v>Unimportant</v>
      </c>
      <c r="E90" s="6" t="str">
        <f>IFERROR(__xludf.DUMMYFUNCTION("IF(P90&lt;&gt;"""", GOOGLETRANSLATE(P90, ""RO"", ""EN""), """")"),"1")</f>
        <v>1</v>
      </c>
      <c r="F90" s="5" t="str">
        <f>IFERROR(__xludf.DUMMYFUNCTION("IF(Q90&lt;&gt;"""", GOOGLETRANSLATE(Q90, ""RO"", ""EN""), """")"),"2")</f>
        <v>2</v>
      </c>
      <c r="G90" s="5" t="str">
        <f>IFERROR(__xludf.DUMMYFUNCTION("IF(R90&lt;&gt;"""", GOOGLETRANSLATE(R90, ""RO"", ""EN""), """")"),"3")</f>
        <v>3</v>
      </c>
      <c r="H90" s="5" t="str">
        <f>IFERROR(__xludf.DUMMYFUNCTION("IF(U90&lt;&gt;"""", GOOGLETRANSLATE(U90, ""RO"", ""EN""), """")"),"4")</f>
        <v>4</v>
      </c>
      <c r="I90" s="5" t="str">
        <f>IFERROR(__xludf.DUMMYFUNCTION("IF(V90&lt;&gt;"""", GOOGLETRANSLATE(V90, ""RO"", ""EN""), """")"),"5")</f>
        <v>5</v>
      </c>
      <c r="J90" s="5" t="str">
        <f>IFERROR(__xludf.DUMMYFUNCTION("IF(W90&lt;&gt;"""", GOOGLETRANSLATE(W90, ""RO"", ""EN""), """")"),"6")</f>
        <v>6</v>
      </c>
      <c r="K90" s="5" t="str">
        <f>IFERROR(__xludf.DUMMYFUNCTION("IF(X90&lt;&gt;"""", GOOGLETRANSLATE(X90, ""RO"", ""EN""), """")"),"7")</f>
        <v>7</v>
      </c>
      <c r="L90" s="5" t="str">
        <f>IFERROR(__xludf.DUMMYFUNCTION("IF(S90&lt;&gt;"""", GOOGLETRANSLATE(S90, ""RO"", ""EN""), """")"),"8")</f>
        <v>8</v>
      </c>
      <c r="M90" s="5" t="str">
        <f>IFERROR(__xludf.DUMMYFUNCTION("IF(T90&lt;&gt;"""", GOOGLETRANSLATE(T90, ""RO"", ""EN""), """")"),"9")</f>
        <v>9</v>
      </c>
      <c r="N90" s="5" t="str">
        <f>IFERROR(__xludf.DUMMYFUNCTION("IF(Y90&lt;&gt;"""", GOOGLETRANSLATE(Y90, ""RO"", ""EN""), """")"),"Extremely important")</f>
        <v>Extremely important</v>
      </c>
      <c r="O90" s="4" t="s">
        <v>343</v>
      </c>
      <c r="P90" s="4" t="s">
        <v>168</v>
      </c>
      <c r="Q90" s="4" t="s">
        <v>169</v>
      </c>
      <c r="R90" s="4" t="s">
        <v>170</v>
      </c>
      <c r="S90" s="4" t="s">
        <v>171</v>
      </c>
      <c r="T90" s="4" t="s">
        <v>172</v>
      </c>
      <c r="U90" s="4" t="s">
        <v>173</v>
      </c>
      <c r="V90" s="4" t="s">
        <v>174</v>
      </c>
      <c r="W90" s="4" t="s">
        <v>175</v>
      </c>
      <c r="X90" s="4" t="s">
        <v>176</v>
      </c>
      <c r="Y90" s="4" t="s">
        <v>344</v>
      </c>
      <c r="AA90" s="4" t="s">
        <v>103</v>
      </c>
      <c r="AB90" s="4" t="s">
        <v>104</v>
      </c>
    </row>
    <row r="91" ht="15.75" customHeight="1">
      <c r="A91" s="4" t="s">
        <v>347</v>
      </c>
      <c r="B91" s="4" t="s">
        <v>348</v>
      </c>
      <c r="C91" s="4" t="str">
        <f>IFERROR(__xludf.DUMMYFUNCTION("GOOGLETRANSLATE(B91, ""RO"", ""EN"")"),"To be close to people")</f>
        <v>To be close to people</v>
      </c>
      <c r="D91" s="5" t="str">
        <f>IFERROR(__xludf.DUMMYFUNCTION("IF(O91&lt;&gt;"""", GOOGLETRANSLATE(O91, ""RO"", ""EN""), """")"),"Unimportant")</f>
        <v>Unimportant</v>
      </c>
      <c r="E91" s="6" t="str">
        <f>IFERROR(__xludf.DUMMYFUNCTION("IF(P91&lt;&gt;"""", GOOGLETRANSLATE(P91, ""RO"", ""EN""), """")"),"1")</f>
        <v>1</v>
      </c>
      <c r="F91" s="5" t="str">
        <f>IFERROR(__xludf.DUMMYFUNCTION("IF(Q91&lt;&gt;"""", GOOGLETRANSLATE(Q91, ""RO"", ""EN""), """")"),"2")</f>
        <v>2</v>
      </c>
      <c r="G91" s="5" t="str">
        <f>IFERROR(__xludf.DUMMYFUNCTION("IF(R91&lt;&gt;"""", GOOGLETRANSLATE(R91, ""RO"", ""EN""), """")"),"3")</f>
        <v>3</v>
      </c>
      <c r="H91" s="5" t="str">
        <f>IFERROR(__xludf.DUMMYFUNCTION("IF(U91&lt;&gt;"""", GOOGLETRANSLATE(U91, ""RO"", ""EN""), """")"),"4")</f>
        <v>4</v>
      </c>
      <c r="I91" s="5" t="str">
        <f>IFERROR(__xludf.DUMMYFUNCTION("IF(V91&lt;&gt;"""", GOOGLETRANSLATE(V91, ""RO"", ""EN""), """")"),"5")</f>
        <v>5</v>
      </c>
      <c r="J91" s="5" t="str">
        <f>IFERROR(__xludf.DUMMYFUNCTION("IF(W91&lt;&gt;"""", GOOGLETRANSLATE(W91, ""RO"", ""EN""), """")"),"6")</f>
        <v>6</v>
      </c>
      <c r="K91" s="5" t="str">
        <f>IFERROR(__xludf.DUMMYFUNCTION("IF(X91&lt;&gt;"""", GOOGLETRANSLATE(X91, ""RO"", ""EN""), """")"),"7")</f>
        <v>7</v>
      </c>
      <c r="L91" s="5" t="str">
        <f>IFERROR(__xludf.DUMMYFUNCTION("IF(S91&lt;&gt;"""", GOOGLETRANSLATE(S91, ""RO"", ""EN""), """")"),"8")</f>
        <v>8</v>
      </c>
      <c r="M91" s="5" t="str">
        <f>IFERROR(__xludf.DUMMYFUNCTION("IF(T91&lt;&gt;"""", GOOGLETRANSLATE(T91, ""RO"", ""EN""), """")"),"9")</f>
        <v>9</v>
      </c>
      <c r="N91" s="5" t="str">
        <f>IFERROR(__xludf.DUMMYFUNCTION("IF(Y91&lt;&gt;"""", GOOGLETRANSLATE(Y91, ""RO"", ""EN""), """")"),"Extremely important")</f>
        <v>Extremely important</v>
      </c>
      <c r="O91" s="4" t="s">
        <v>343</v>
      </c>
      <c r="P91" s="4" t="s">
        <v>168</v>
      </c>
      <c r="Q91" s="4" t="s">
        <v>169</v>
      </c>
      <c r="R91" s="4" t="s">
        <v>170</v>
      </c>
      <c r="S91" s="4" t="s">
        <v>171</v>
      </c>
      <c r="T91" s="4" t="s">
        <v>172</v>
      </c>
      <c r="U91" s="4" t="s">
        <v>173</v>
      </c>
      <c r="V91" s="4" t="s">
        <v>174</v>
      </c>
      <c r="W91" s="4" t="s">
        <v>175</v>
      </c>
      <c r="X91" s="4" t="s">
        <v>176</v>
      </c>
      <c r="Y91" s="4" t="s">
        <v>344</v>
      </c>
      <c r="AA91" s="4" t="s">
        <v>103</v>
      </c>
      <c r="AB91" s="4" t="s">
        <v>104</v>
      </c>
    </row>
    <row r="92" ht="15.75" customHeight="1">
      <c r="A92" s="4" t="s">
        <v>349</v>
      </c>
      <c r="B92" s="4" t="s">
        <v>350</v>
      </c>
      <c r="C92" s="4" t="str">
        <f>IFERROR(__xludf.DUMMYFUNCTION("GOOGLETRANSLATE(B92, ""RO"", ""EN"")"),"To always respect the promises he makes")</f>
        <v>To always respect the promises he makes</v>
      </c>
      <c r="D92" s="5" t="str">
        <f>IFERROR(__xludf.DUMMYFUNCTION("IF(O92&lt;&gt;"""", GOOGLETRANSLATE(O92, ""RO"", ""EN""), """")"),"Unimportant")</f>
        <v>Unimportant</v>
      </c>
      <c r="E92" s="6" t="str">
        <f>IFERROR(__xludf.DUMMYFUNCTION("IF(P92&lt;&gt;"""", GOOGLETRANSLATE(P92, ""RO"", ""EN""), """")"),"1")</f>
        <v>1</v>
      </c>
      <c r="F92" s="5" t="str">
        <f>IFERROR(__xludf.DUMMYFUNCTION("IF(Q92&lt;&gt;"""", GOOGLETRANSLATE(Q92, ""RO"", ""EN""), """")"),"2")</f>
        <v>2</v>
      </c>
      <c r="G92" s="5" t="str">
        <f>IFERROR(__xludf.DUMMYFUNCTION("IF(R92&lt;&gt;"""", GOOGLETRANSLATE(R92, ""RO"", ""EN""), """")"),"3")</f>
        <v>3</v>
      </c>
      <c r="H92" s="5" t="str">
        <f>IFERROR(__xludf.DUMMYFUNCTION("IF(U92&lt;&gt;"""", GOOGLETRANSLATE(U92, ""RO"", ""EN""), """")"),"4")</f>
        <v>4</v>
      </c>
      <c r="I92" s="5" t="str">
        <f>IFERROR(__xludf.DUMMYFUNCTION("IF(V92&lt;&gt;"""", GOOGLETRANSLATE(V92, ""RO"", ""EN""), """")"),"5")</f>
        <v>5</v>
      </c>
      <c r="J92" s="5" t="str">
        <f>IFERROR(__xludf.DUMMYFUNCTION("IF(W92&lt;&gt;"""", GOOGLETRANSLATE(W92, ""RO"", ""EN""), """")"),"6")</f>
        <v>6</v>
      </c>
      <c r="K92" s="5" t="str">
        <f>IFERROR(__xludf.DUMMYFUNCTION("IF(X92&lt;&gt;"""", GOOGLETRANSLATE(X92, ""RO"", ""EN""), """")"),"7")</f>
        <v>7</v>
      </c>
      <c r="L92" s="5" t="str">
        <f>IFERROR(__xludf.DUMMYFUNCTION("IF(S92&lt;&gt;"""", GOOGLETRANSLATE(S92, ""RO"", ""EN""), """")"),"8")</f>
        <v>8</v>
      </c>
      <c r="M92" s="5" t="str">
        <f>IFERROR(__xludf.DUMMYFUNCTION("IF(T92&lt;&gt;"""", GOOGLETRANSLATE(T92, ""RO"", ""EN""), """")"),"9")</f>
        <v>9</v>
      </c>
      <c r="N92" s="5" t="str">
        <f>IFERROR(__xludf.DUMMYFUNCTION("IF(Y92&lt;&gt;"""", GOOGLETRANSLATE(Y92, ""RO"", ""EN""), """")"),"Extremely important")</f>
        <v>Extremely important</v>
      </c>
      <c r="O92" s="4" t="s">
        <v>343</v>
      </c>
      <c r="P92" s="4" t="s">
        <v>168</v>
      </c>
      <c r="Q92" s="4" t="s">
        <v>169</v>
      </c>
      <c r="R92" s="4" t="s">
        <v>170</v>
      </c>
      <c r="S92" s="4" t="s">
        <v>171</v>
      </c>
      <c r="T92" s="4" t="s">
        <v>172</v>
      </c>
      <c r="U92" s="4" t="s">
        <v>173</v>
      </c>
      <c r="V92" s="4" t="s">
        <v>174</v>
      </c>
      <c r="W92" s="4" t="s">
        <v>175</v>
      </c>
      <c r="X92" s="4" t="s">
        <v>176</v>
      </c>
      <c r="Y92" s="4" t="s">
        <v>344</v>
      </c>
      <c r="AA92" s="4" t="s">
        <v>103</v>
      </c>
      <c r="AB92" s="4" t="s">
        <v>104</v>
      </c>
    </row>
    <row r="93" ht="15.75" customHeight="1">
      <c r="A93" s="4" t="s">
        <v>351</v>
      </c>
      <c r="B93" s="4" t="s">
        <v>352</v>
      </c>
      <c r="C93" s="4" t="str">
        <f>IFERROR(__xludf.DUMMYFUNCTION("GOOGLETRANSLATE(B93, ""RO"", ""EN"")"),"To be competent")</f>
        <v>To be competent</v>
      </c>
      <c r="D93" s="5" t="str">
        <f>IFERROR(__xludf.DUMMYFUNCTION("IF(O93&lt;&gt;"""", GOOGLETRANSLATE(O93, ""RO"", ""EN""), """")"),"Unimportant")</f>
        <v>Unimportant</v>
      </c>
      <c r="E93" s="6" t="str">
        <f>IFERROR(__xludf.DUMMYFUNCTION("IF(P93&lt;&gt;"""", GOOGLETRANSLATE(P93, ""RO"", ""EN""), """")"),"1")</f>
        <v>1</v>
      </c>
      <c r="F93" s="5" t="str">
        <f>IFERROR(__xludf.DUMMYFUNCTION("IF(Q93&lt;&gt;"""", GOOGLETRANSLATE(Q93, ""RO"", ""EN""), """")"),"2")</f>
        <v>2</v>
      </c>
      <c r="G93" s="5" t="str">
        <f>IFERROR(__xludf.DUMMYFUNCTION("IF(R93&lt;&gt;"""", GOOGLETRANSLATE(R93, ""RO"", ""EN""), """")"),"3")</f>
        <v>3</v>
      </c>
      <c r="H93" s="5" t="str">
        <f>IFERROR(__xludf.DUMMYFUNCTION("IF(U93&lt;&gt;"""", GOOGLETRANSLATE(U93, ""RO"", ""EN""), """")"),"4")</f>
        <v>4</v>
      </c>
      <c r="I93" s="5" t="str">
        <f>IFERROR(__xludf.DUMMYFUNCTION("IF(V93&lt;&gt;"""", GOOGLETRANSLATE(V93, ""RO"", ""EN""), """")"),"5")</f>
        <v>5</v>
      </c>
      <c r="J93" s="5" t="str">
        <f>IFERROR(__xludf.DUMMYFUNCTION("IF(W93&lt;&gt;"""", GOOGLETRANSLATE(W93, ""RO"", ""EN""), """")"),"6")</f>
        <v>6</v>
      </c>
      <c r="K93" s="5" t="str">
        <f>IFERROR(__xludf.DUMMYFUNCTION("IF(X93&lt;&gt;"""", GOOGLETRANSLATE(X93, ""RO"", ""EN""), """")"),"7")</f>
        <v>7</v>
      </c>
      <c r="L93" s="5" t="str">
        <f>IFERROR(__xludf.DUMMYFUNCTION("IF(S93&lt;&gt;"""", GOOGLETRANSLATE(S93, ""RO"", ""EN""), """")"),"8")</f>
        <v>8</v>
      </c>
      <c r="M93" s="5" t="str">
        <f>IFERROR(__xludf.DUMMYFUNCTION("IF(T93&lt;&gt;"""", GOOGLETRANSLATE(T93, ""RO"", ""EN""), """")"),"9")</f>
        <v>9</v>
      </c>
      <c r="N93" s="5" t="str">
        <f>IFERROR(__xludf.DUMMYFUNCTION("IF(Y93&lt;&gt;"""", GOOGLETRANSLATE(Y93, ""RO"", ""EN""), """")"),"Extremely important")</f>
        <v>Extremely important</v>
      </c>
      <c r="O93" s="4" t="s">
        <v>343</v>
      </c>
      <c r="P93" s="4" t="s">
        <v>168</v>
      </c>
      <c r="Q93" s="4" t="s">
        <v>169</v>
      </c>
      <c r="R93" s="4" t="s">
        <v>170</v>
      </c>
      <c r="S93" s="4" t="s">
        <v>171</v>
      </c>
      <c r="T93" s="4" t="s">
        <v>172</v>
      </c>
      <c r="U93" s="4" t="s">
        <v>173</v>
      </c>
      <c r="V93" s="4" t="s">
        <v>174</v>
      </c>
      <c r="W93" s="4" t="s">
        <v>175</v>
      </c>
      <c r="X93" s="4" t="s">
        <v>176</v>
      </c>
      <c r="Y93" s="4" t="s">
        <v>344</v>
      </c>
      <c r="AA93" s="4" t="s">
        <v>103</v>
      </c>
      <c r="AB93" s="4" t="s">
        <v>104</v>
      </c>
    </row>
    <row r="94" ht="15.75" customHeight="1">
      <c r="A94" s="4" t="s">
        <v>353</v>
      </c>
      <c r="B94" s="4" t="s">
        <v>354</v>
      </c>
      <c r="C94" s="4" t="str">
        <f>IFERROR(__xludf.DUMMYFUNCTION("GOOGLETRANSLATE(B94, ""RO"", ""EN"")"),"Be decided and firm")</f>
        <v>Be decided and firm</v>
      </c>
      <c r="D94" s="5" t="str">
        <f>IFERROR(__xludf.DUMMYFUNCTION("IF(O94&lt;&gt;"""", GOOGLETRANSLATE(O94, ""RO"", ""EN""), """")"),"Unimportant")</f>
        <v>Unimportant</v>
      </c>
      <c r="E94" s="6" t="str">
        <f>IFERROR(__xludf.DUMMYFUNCTION("IF(P94&lt;&gt;"""", GOOGLETRANSLATE(P94, ""RO"", ""EN""), """")"),"1")</f>
        <v>1</v>
      </c>
      <c r="F94" s="5" t="str">
        <f>IFERROR(__xludf.DUMMYFUNCTION("IF(Q94&lt;&gt;"""", GOOGLETRANSLATE(Q94, ""RO"", ""EN""), """")"),"2")</f>
        <v>2</v>
      </c>
      <c r="G94" s="5" t="str">
        <f>IFERROR(__xludf.DUMMYFUNCTION("IF(R94&lt;&gt;"""", GOOGLETRANSLATE(R94, ""RO"", ""EN""), """")"),"3")</f>
        <v>3</v>
      </c>
      <c r="H94" s="5" t="str">
        <f>IFERROR(__xludf.DUMMYFUNCTION("IF(U94&lt;&gt;"""", GOOGLETRANSLATE(U94, ""RO"", ""EN""), """")"),"4")</f>
        <v>4</v>
      </c>
      <c r="I94" s="5" t="str">
        <f>IFERROR(__xludf.DUMMYFUNCTION("IF(V94&lt;&gt;"""", GOOGLETRANSLATE(V94, ""RO"", ""EN""), """")"),"5")</f>
        <v>5</v>
      </c>
      <c r="J94" s="5" t="str">
        <f>IFERROR(__xludf.DUMMYFUNCTION("IF(W94&lt;&gt;"""", GOOGLETRANSLATE(W94, ""RO"", ""EN""), """")"),"6")</f>
        <v>6</v>
      </c>
      <c r="K94" s="5" t="str">
        <f>IFERROR(__xludf.DUMMYFUNCTION("IF(X94&lt;&gt;"""", GOOGLETRANSLATE(X94, ""RO"", ""EN""), """")"),"7")</f>
        <v>7</v>
      </c>
      <c r="L94" s="5" t="str">
        <f>IFERROR(__xludf.DUMMYFUNCTION("IF(S94&lt;&gt;"""", GOOGLETRANSLATE(S94, ""RO"", ""EN""), """")"),"8")</f>
        <v>8</v>
      </c>
      <c r="M94" s="5" t="str">
        <f>IFERROR(__xludf.DUMMYFUNCTION("IF(T94&lt;&gt;"""", GOOGLETRANSLATE(T94, ""RO"", ""EN""), """")"),"9")</f>
        <v>9</v>
      </c>
      <c r="N94" s="5" t="str">
        <f>IFERROR(__xludf.DUMMYFUNCTION("IF(Y94&lt;&gt;"""", GOOGLETRANSLATE(Y94, ""RO"", ""EN""), """")"),"Extremely important")</f>
        <v>Extremely important</v>
      </c>
      <c r="O94" s="4" t="s">
        <v>343</v>
      </c>
      <c r="P94" s="4" t="s">
        <v>168</v>
      </c>
      <c r="Q94" s="4" t="s">
        <v>169</v>
      </c>
      <c r="R94" s="4" t="s">
        <v>170</v>
      </c>
      <c r="S94" s="4" t="s">
        <v>171</v>
      </c>
      <c r="T94" s="4" t="s">
        <v>172</v>
      </c>
      <c r="U94" s="4" t="s">
        <v>173</v>
      </c>
      <c r="V94" s="4" t="s">
        <v>174</v>
      </c>
      <c r="W94" s="4" t="s">
        <v>175</v>
      </c>
      <c r="X94" s="4" t="s">
        <v>176</v>
      </c>
      <c r="Y94" s="4" t="s">
        <v>344</v>
      </c>
      <c r="AA94" s="4" t="s">
        <v>103</v>
      </c>
      <c r="AB94" s="4" t="s">
        <v>104</v>
      </c>
    </row>
    <row r="95" ht="15.75" customHeight="1">
      <c r="A95" s="4" t="s">
        <v>355</v>
      </c>
      <c r="B95" s="4" t="s">
        <v>356</v>
      </c>
      <c r="C95" s="4" t="str">
        <f>IFERROR(__xludf.DUMMYFUNCTION("GOOGLETRANSLATE(B95, ""RO"", ""EN"")"),"To develop good relationships with other countries")</f>
        <v>To develop good relationships with other countries</v>
      </c>
      <c r="D95" s="5" t="str">
        <f>IFERROR(__xludf.DUMMYFUNCTION("IF(O95&lt;&gt;"""", GOOGLETRANSLATE(O95, ""RO"", ""EN""), """")"),"Unimportant")</f>
        <v>Unimportant</v>
      </c>
      <c r="E95" s="6" t="str">
        <f>IFERROR(__xludf.DUMMYFUNCTION("IF(P95&lt;&gt;"""", GOOGLETRANSLATE(P95, ""RO"", ""EN""), """")"),"1")</f>
        <v>1</v>
      </c>
      <c r="F95" s="5" t="str">
        <f>IFERROR(__xludf.DUMMYFUNCTION("IF(Q95&lt;&gt;"""", GOOGLETRANSLATE(Q95, ""RO"", ""EN""), """")"),"2")</f>
        <v>2</v>
      </c>
      <c r="G95" s="5" t="str">
        <f>IFERROR(__xludf.DUMMYFUNCTION("IF(R95&lt;&gt;"""", GOOGLETRANSLATE(R95, ""RO"", ""EN""), """")"),"3")</f>
        <v>3</v>
      </c>
      <c r="H95" s="5" t="str">
        <f>IFERROR(__xludf.DUMMYFUNCTION("IF(U95&lt;&gt;"""", GOOGLETRANSLATE(U95, ""RO"", ""EN""), """")"),"4")</f>
        <v>4</v>
      </c>
      <c r="I95" s="5" t="str">
        <f>IFERROR(__xludf.DUMMYFUNCTION("IF(V95&lt;&gt;"""", GOOGLETRANSLATE(V95, ""RO"", ""EN""), """")"),"5")</f>
        <v>5</v>
      </c>
      <c r="J95" s="5" t="str">
        <f>IFERROR(__xludf.DUMMYFUNCTION("IF(W95&lt;&gt;"""", GOOGLETRANSLATE(W95, ""RO"", ""EN""), """")"),"6")</f>
        <v>6</v>
      </c>
      <c r="K95" s="5" t="str">
        <f>IFERROR(__xludf.DUMMYFUNCTION("IF(X95&lt;&gt;"""", GOOGLETRANSLATE(X95, ""RO"", ""EN""), """")"),"7")</f>
        <v>7</v>
      </c>
      <c r="L95" s="5" t="str">
        <f>IFERROR(__xludf.DUMMYFUNCTION("IF(S95&lt;&gt;"""", GOOGLETRANSLATE(S95, ""RO"", ""EN""), """")"),"8")</f>
        <v>8</v>
      </c>
      <c r="M95" s="5" t="str">
        <f>IFERROR(__xludf.DUMMYFUNCTION("IF(T95&lt;&gt;"""", GOOGLETRANSLATE(T95, ""RO"", ""EN""), """")"),"9")</f>
        <v>9</v>
      </c>
      <c r="N95" s="5" t="str">
        <f>IFERROR(__xludf.DUMMYFUNCTION("IF(Y95&lt;&gt;"""", GOOGLETRANSLATE(Y95, ""RO"", ""EN""), """")"),"Extremely important")</f>
        <v>Extremely important</v>
      </c>
      <c r="O95" s="4" t="s">
        <v>343</v>
      </c>
      <c r="P95" s="4" t="s">
        <v>168</v>
      </c>
      <c r="Q95" s="4" t="s">
        <v>169</v>
      </c>
      <c r="R95" s="4" t="s">
        <v>170</v>
      </c>
      <c r="S95" s="4" t="s">
        <v>171</v>
      </c>
      <c r="T95" s="4" t="s">
        <v>172</v>
      </c>
      <c r="U95" s="4" t="s">
        <v>173</v>
      </c>
      <c r="V95" s="4" t="s">
        <v>174</v>
      </c>
      <c r="W95" s="4" t="s">
        <v>175</v>
      </c>
      <c r="X95" s="4" t="s">
        <v>176</v>
      </c>
      <c r="Y95" s="4" t="s">
        <v>344</v>
      </c>
      <c r="AA95" s="4" t="s">
        <v>103</v>
      </c>
      <c r="AB95" s="4" t="s">
        <v>104</v>
      </c>
    </row>
    <row r="96" ht="15.75" customHeight="1">
      <c r="A96" s="4" t="s">
        <v>357</v>
      </c>
      <c r="B96" s="4" t="s">
        <v>358</v>
      </c>
      <c r="C96" s="4" t="str">
        <f>IFERROR(__xludf.DUMMYFUNCTION("GOOGLETRANSLATE(B96, ""RO"", ""EN"")"),"To know how to lead the people they work with")</f>
        <v>To know how to lead the people they work with</v>
      </c>
      <c r="D96" s="5" t="str">
        <f>IFERROR(__xludf.DUMMYFUNCTION("IF(O96&lt;&gt;"""", GOOGLETRANSLATE(O96, ""RO"", ""EN""), """")"),"Unimportant")</f>
        <v>Unimportant</v>
      </c>
      <c r="E96" s="6" t="str">
        <f>IFERROR(__xludf.DUMMYFUNCTION("IF(P96&lt;&gt;"""", GOOGLETRANSLATE(P96, ""RO"", ""EN""), """")"),"1")</f>
        <v>1</v>
      </c>
      <c r="F96" s="5" t="str">
        <f>IFERROR(__xludf.DUMMYFUNCTION("IF(Q96&lt;&gt;"""", GOOGLETRANSLATE(Q96, ""RO"", ""EN""), """")"),"2")</f>
        <v>2</v>
      </c>
      <c r="G96" s="5" t="str">
        <f>IFERROR(__xludf.DUMMYFUNCTION("IF(R96&lt;&gt;"""", GOOGLETRANSLATE(R96, ""RO"", ""EN""), """")"),"3")</f>
        <v>3</v>
      </c>
      <c r="H96" s="5" t="str">
        <f>IFERROR(__xludf.DUMMYFUNCTION("IF(U96&lt;&gt;"""", GOOGLETRANSLATE(U96, ""RO"", ""EN""), """")"),"4")</f>
        <v>4</v>
      </c>
      <c r="I96" s="5" t="str">
        <f>IFERROR(__xludf.DUMMYFUNCTION("IF(V96&lt;&gt;"""", GOOGLETRANSLATE(V96, ""RO"", ""EN""), """")"),"5")</f>
        <v>5</v>
      </c>
      <c r="J96" s="5" t="str">
        <f>IFERROR(__xludf.DUMMYFUNCTION("IF(W96&lt;&gt;"""", GOOGLETRANSLATE(W96, ""RO"", ""EN""), """")"),"6")</f>
        <v>6</v>
      </c>
      <c r="K96" s="5" t="str">
        <f>IFERROR(__xludf.DUMMYFUNCTION("IF(X96&lt;&gt;"""", GOOGLETRANSLATE(X96, ""RO"", ""EN""), """")"),"7")</f>
        <v>7</v>
      </c>
      <c r="L96" s="5" t="str">
        <f>IFERROR(__xludf.DUMMYFUNCTION("IF(S96&lt;&gt;"""", GOOGLETRANSLATE(S96, ""RO"", ""EN""), """")"),"8")</f>
        <v>8</v>
      </c>
      <c r="M96" s="5" t="str">
        <f>IFERROR(__xludf.DUMMYFUNCTION("IF(T96&lt;&gt;"""", GOOGLETRANSLATE(T96, ""RO"", ""EN""), """")"),"9")</f>
        <v>9</v>
      </c>
      <c r="N96" s="5" t="str">
        <f>IFERROR(__xludf.DUMMYFUNCTION("IF(Y96&lt;&gt;"""", GOOGLETRANSLATE(Y96, ""RO"", ""EN""), """")"),"Extremely important")</f>
        <v>Extremely important</v>
      </c>
      <c r="O96" s="4" t="s">
        <v>343</v>
      </c>
      <c r="P96" s="4" t="s">
        <v>168</v>
      </c>
      <c r="Q96" s="4" t="s">
        <v>169</v>
      </c>
      <c r="R96" s="4" t="s">
        <v>170</v>
      </c>
      <c r="S96" s="4" t="s">
        <v>171</v>
      </c>
      <c r="T96" s="4" t="s">
        <v>172</v>
      </c>
      <c r="U96" s="4" t="s">
        <v>173</v>
      </c>
      <c r="V96" s="4" t="s">
        <v>174</v>
      </c>
      <c r="W96" s="4" t="s">
        <v>175</v>
      </c>
      <c r="X96" s="4" t="s">
        <v>176</v>
      </c>
      <c r="Y96" s="4" t="s">
        <v>344</v>
      </c>
      <c r="AA96" s="4" t="s">
        <v>103</v>
      </c>
      <c r="AB96" s="4" t="s">
        <v>104</v>
      </c>
    </row>
    <row r="97" ht="15.75" customHeight="1">
      <c r="A97" s="4" t="s">
        <v>359</v>
      </c>
      <c r="B97" s="4" t="s">
        <v>360</v>
      </c>
      <c r="C97" s="4" t="str">
        <f>IFERROR(__xludf.DUMMYFUNCTION("GOOGLETRANSLATE(B97, ""RO"", ""EN"")"),"Not to be conflict / quarrel")</f>
        <v>Not to be conflict / quarrel</v>
      </c>
      <c r="D97" s="5" t="str">
        <f>IFERROR(__xludf.DUMMYFUNCTION("IF(O97&lt;&gt;"""", GOOGLETRANSLATE(O97, ""RO"", ""EN""), """")"),"Unimportant")</f>
        <v>Unimportant</v>
      </c>
      <c r="E97" s="6" t="str">
        <f>IFERROR(__xludf.DUMMYFUNCTION("IF(P97&lt;&gt;"""", GOOGLETRANSLATE(P97, ""RO"", ""EN""), """")"),"1")</f>
        <v>1</v>
      </c>
      <c r="F97" s="5" t="str">
        <f>IFERROR(__xludf.DUMMYFUNCTION("IF(Q97&lt;&gt;"""", GOOGLETRANSLATE(Q97, ""RO"", ""EN""), """")"),"2")</f>
        <v>2</v>
      </c>
      <c r="G97" s="5" t="str">
        <f>IFERROR(__xludf.DUMMYFUNCTION("IF(R97&lt;&gt;"""", GOOGLETRANSLATE(R97, ""RO"", ""EN""), """")"),"3")</f>
        <v>3</v>
      </c>
      <c r="H97" s="5" t="str">
        <f>IFERROR(__xludf.DUMMYFUNCTION("IF(U97&lt;&gt;"""", GOOGLETRANSLATE(U97, ""RO"", ""EN""), """")"),"4")</f>
        <v>4</v>
      </c>
      <c r="I97" s="5" t="str">
        <f>IFERROR(__xludf.DUMMYFUNCTION("IF(V97&lt;&gt;"""", GOOGLETRANSLATE(V97, ""RO"", ""EN""), """")"),"5")</f>
        <v>5</v>
      </c>
      <c r="J97" s="5" t="str">
        <f>IFERROR(__xludf.DUMMYFUNCTION("IF(W97&lt;&gt;"""", GOOGLETRANSLATE(W97, ""RO"", ""EN""), """")"),"6")</f>
        <v>6</v>
      </c>
      <c r="K97" s="5" t="str">
        <f>IFERROR(__xludf.DUMMYFUNCTION("IF(X97&lt;&gt;"""", GOOGLETRANSLATE(X97, ""RO"", ""EN""), """")"),"7")</f>
        <v>7</v>
      </c>
      <c r="L97" s="5" t="str">
        <f>IFERROR(__xludf.DUMMYFUNCTION("IF(S97&lt;&gt;"""", GOOGLETRANSLATE(S97, ""RO"", ""EN""), """")"),"8")</f>
        <v>8</v>
      </c>
      <c r="M97" s="5" t="str">
        <f>IFERROR(__xludf.DUMMYFUNCTION("IF(T97&lt;&gt;"""", GOOGLETRANSLATE(T97, ""RO"", ""EN""), """")"),"9")</f>
        <v>9</v>
      </c>
      <c r="N97" s="5" t="str">
        <f>IFERROR(__xludf.DUMMYFUNCTION("IF(Y97&lt;&gt;"""", GOOGLETRANSLATE(Y97, ""RO"", ""EN""), """")"),"Extremely important")</f>
        <v>Extremely important</v>
      </c>
      <c r="O97" s="4" t="s">
        <v>343</v>
      </c>
      <c r="P97" s="4" t="s">
        <v>168</v>
      </c>
      <c r="Q97" s="4" t="s">
        <v>169</v>
      </c>
      <c r="R97" s="4" t="s">
        <v>170</v>
      </c>
      <c r="S97" s="4" t="s">
        <v>171</v>
      </c>
      <c r="T97" s="4" t="s">
        <v>172</v>
      </c>
      <c r="U97" s="4" t="s">
        <v>173</v>
      </c>
      <c r="V97" s="4" t="s">
        <v>174</v>
      </c>
      <c r="W97" s="4" t="s">
        <v>175</v>
      </c>
      <c r="X97" s="4" t="s">
        <v>176</v>
      </c>
      <c r="Y97" s="4" t="s">
        <v>344</v>
      </c>
      <c r="AA97" s="4" t="s">
        <v>103</v>
      </c>
      <c r="AB97" s="4" t="s">
        <v>104</v>
      </c>
    </row>
    <row r="98" ht="15.75" customHeight="1">
      <c r="A98" s="4" t="s">
        <v>361</v>
      </c>
      <c r="B98" s="4" t="s">
        <v>362</v>
      </c>
      <c r="C98" s="4" t="str">
        <f>IFERROR(__xludf.DUMMYFUNCTION("GOOGLETRANSLATE(B98, ""RO"", ""EN"")"),"On a scale from 0 to 10, in which 0 means ""not"" and 10 ""in full"", to what extent do you agree with the following statements. Mircea Geona is an honest man.")</f>
        <v>On a scale from 0 to 10, in which 0 means "not" and 10 "in full", to what extent do you agree with the following statements. Mircea Geona is an honest man.</v>
      </c>
      <c r="D98" s="5" t="str">
        <f>IFERROR(__xludf.DUMMYFUNCTION("IF(O98&lt;&gt;"""", GOOGLETRANSLATE(O98, ""RO"", ""EN""), """")"),"Not at all")</f>
        <v>Not at all</v>
      </c>
      <c r="E98" s="6" t="str">
        <f>IFERROR(__xludf.DUMMYFUNCTION("IF(P98&lt;&gt;"""", GOOGLETRANSLATE(P98, ""RO"", ""EN""), """")"),"1")</f>
        <v>1</v>
      </c>
      <c r="F98" s="5" t="str">
        <f>IFERROR(__xludf.DUMMYFUNCTION("IF(Q98&lt;&gt;"""", GOOGLETRANSLATE(Q98, ""RO"", ""EN""), """")"),"2")</f>
        <v>2</v>
      </c>
      <c r="G98" s="5" t="str">
        <f>IFERROR(__xludf.DUMMYFUNCTION("IF(R98&lt;&gt;"""", GOOGLETRANSLATE(R98, ""RO"", ""EN""), """")"),"3")</f>
        <v>3</v>
      </c>
      <c r="H98" s="5" t="str">
        <f>IFERROR(__xludf.DUMMYFUNCTION("IF(U98&lt;&gt;"""", GOOGLETRANSLATE(U98, ""RO"", ""EN""), """")"),"4")</f>
        <v>4</v>
      </c>
      <c r="I98" s="5" t="str">
        <f>IFERROR(__xludf.DUMMYFUNCTION("IF(V98&lt;&gt;"""", GOOGLETRANSLATE(V98, ""RO"", ""EN""), """")"),"5")</f>
        <v>5</v>
      </c>
      <c r="J98" s="5" t="str">
        <f>IFERROR(__xludf.DUMMYFUNCTION("IF(W98&lt;&gt;"""", GOOGLETRANSLATE(W98, ""RO"", ""EN""), """")"),"6")</f>
        <v>6</v>
      </c>
      <c r="K98" s="5" t="str">
        <f>IFERROR(__xludf.DUMMYFUNCTION("IF(X98&lt;&gt;"""", GOOGLETRANSLATE(X98, ""RO"", ""EN""), """")"),"7")</f>
        <v>7</v>
      </c>
      <c r="L98" s="5" t="str">
        <f>IFERROR(__xludf.DUMMYFUNCTION("IF(S98&lt;&gt;"""", GOOGLETRANSLATE(S98, ""RO"", ""EN""), """")"),"8")</f>
        <v>8</v>
      </c>
      <c r="M98" s="5" t="str">
        <f>IFERROR(__xludf.DUMMYFUNCTION("IF(T98&lt;&gt;"""", GOOGLETRANSLATE(T98, ""RO"", ""EN""), """")"),"9")</f>
        <v>9</v>
      </c>
      <c r="N98" s="5" t="str">
        <f>IFERROR(__xludf.DUMMYFUNCTION("IF(Y98&lt;&gt;"""", GOOGLETRANSLATE(Y98, ""RO"", ""EN""), """")"),"Fully")</f>
        <v>Fully</v>
      </c>
      <c r="O98" s="4" t="s">
        <v>363</v>
      </c>
      <c r="P98" s="4" t="s">
        <v>168</v>
      </c>
      <c r="Q98" s="4" t="s">
        <v>169</v>
      </c>
      <c r="R98" s="4" t="s">
        <v>170</v>
      </c>
      <c r="S98" s="4" t="s">
        <v>171</v>
      </c>
      <c r="T98" s="4" t="s">
        <v>172</v>
      </c>
      <c r="U98" s="4" t="s">
        <v>173</v>
      </c>
      <c r="V98" s="4" t="s">
        <v>174</v>
      </c>
      <c r="W98" s="4" t="s">
        <v>175</v>
      </c>
      <c r="X98" s="4" t="s">
        <v>176</v>
      </c>
      <c r="Y98" s="4" t="s">
        <v>364</v>
      </c>
      <c r="Z98" s="4" t="s">
        <v>177</v>
      </c>
      <c r="AA98" s="4" t="s">
        <v>103</v>
      </c>
      <c r="AB98" s="4" t="s">
        <v>104</v>
      </c>
    </row>
    <row r="99" ht="15.75" customHeight="1">
      <c r="A99" s="4" t="s">
        <v>365</v>
      </c>
      <c r="B99" s="4" t="s">
        <v>366</v>
      </c>
      <c r="C99" s="4" t="str">
        <f>IFERROR(__xludf.DUMMYFUNCTION("GOOGLETRANSLATE(B99, ""RO"", ""EN"")"),"Crin Antonescu is an honest man")</f>
        <v>Crin Antonescu is an honest man</v>
      </c>
      <c r="D99" s="5" t="str">
        <f>IFERROR(__xludf.DUMMYFUNCTION("IF(O99&lt;&gt;"""", GOOGLETRANSLATE(O99, ""RO"", ""EN""), """")"),"Not at all")</f>
        <v>Not at all</v>
      </c>
      <c r="E99" s="6" t="str">
        <f>IFERROR(__xludf.DUMMYFUNCTION("IF(P99&lt;&gt;"""", GOOGLETRANSLATE(P99, ""RO"", ""EN""), """")"),"1")</f>
        <v>1</v>
      </c>
      <c r="F99" s="5" t="str">
        <f>IFERROR(__xludf.DUMMYFUNCTION("IF(Q99&lt;&gt;"""", GOOGLETRANSLATE(Q99, ""RO"", ""EN""), """")"),"2")</f>
        <v>2</v>
      </c>
      <c r="G99" s="5" t="str">
        <f>IFERROR(__xludf.DUMMYFUNCTION("IF(R99&lt;&gt;"""", GOOGLETRANSLATE(R99, ""RO"", ""EN""), """")"),"3")</f>
        <v>3</v>
      </c>
      <c r="H99" s="5" t="str">
        <f>IFERROR(__xludf.DUMMYFUNCTION("IF(U99&lt;&gt;"""", GOOGLETRANSLATE(U99, ""RO"", ""EN""), """")"),"4")</f>
        <v>4</v>
      </c>
      <c r="I99" s="5" t="str">
        <f>IFERROR(__xludf.DUMMYFUNCTION("IF(V99&lt;&gt;"""", GOOGLETRANSLATE(V99, ""RO"", ""EN""), """")"),"5")</f>
        <v>5</v>
      </c>
      <c r="J99" s="5" t="str">
        <f>IFERROR(__xludf.DUMMYFUNCTION("IF(W99&lt;&gt;"""", GOOGLETRANSLATE(W99, ""RO"", ""EN""), """")"),"6")</f>
        <v>6</v>
      </c>
      <c r="K99" s="5" t="str">
        <f>IFERROR(__xludf.DUMMYFUNCTION("IF(X99&lt;&gt;"""", GOOGLETRANSLATE(X99, ""RO"", ""EN""), """")"),"7")</f>
        <v>7</v>
      </c>
      <c r="L99" s="5" t="str">
        <f>IFERROR(__xludf.DUMMYFUNCTION("IF(S99&lt;&gt;"""", GOOGLETRANSLATE(S99, ""RO"", ""EN""), """")"),"8")</f>
        <v>8</v>
      </c>
      <c r="M99" s="5" t="str">
        <f>IFERROR(__xludf.DUMMYFUNCTION("IF(T99&lt;&gt;"""", GOOGLETRANSLATE(T99, ""RO"", ""EN""), """")"),"9")</f>
        <v>9</v>
      </c>
      <c r="N99" s="5" t="str">
        <f>IFERROR(__xludf.DUMMYFUNCTION("IF(Y99&lt;&gt;"""", GOOGLETRANSLATE(Y99, ""RO"", ""EN""), """")"),"Fully")</f>
        <v>Fully</v>
      </c>
      <c r="O99" s="4" t="s">
        <v>363</v>
      </c>
      <c r="P99" s="4" t="s">
        <v>168</v>
      </c>
      <c r="Q99" s="4" t="s">
        <v>169</v>
      </c>
      <c r="R99" s="4" t="s">
        <v>170</v>
      </c>
      <c r="S99" s="4" t="s">
        <v>171</v>
      </c>
      <c r="T99" s="4" t="s">
        <v>172</v>
      </c>
      <c r="U99" s="4" t="s">
        <v>173</v>
      </c>
      <c r="V99" s="4" t="s">
        <v>174</v>
      </c>
      <c r="W99" s="4" t="s">
        <v>175</v>
      </c>
      <c r="X99" s="4" t="s">
        <v>176</v>
      </c>
      <c r="Y99" s="4" t="s">
        <v>364</v>
      </c>
      <c r="Z99" s="4" t="s">
        <v>177</v>
      </c>
      <c r="AA99" s="4" t="s">
        <v>103</v>
      </c>
      <c r="AB99" s="4" t="s">
        <v>104</v>
      </c>
    </row>
    <row r="100" ht="15.75" customHeight="1">
      <c r="A100" s="4" t="s">
        <v>367</v>
      </c>
      <c r="B100" s="4" t="s">
        <v>368</v>
      </c>
      <c r="C100" s="4" t="str">
        <f>IFERROR(__xludf.DUMMYFUNCTION("GOOGLETRANSLATE(B100, ""RO"", ""EN"")"),"Traian Basescu is an honest man")</f>
        <v>Traian Basescu is an honest man</v>
      </c>
      <c r="D100" s="5" t="str">
        <f>IFERROR(__xludf.DUMMYFUNCTION("IF(O100&lt;&gt;"""", GOOGLETRANSLATE(O100, ""RO"", ""EN""), """")"),"Not at all")</f>
        <v>Not at all</v>
      </c>
      <c r="E100" s="6" t="str">
        <f>IFERROR(__xludf.DUMMYFUNCTION("IF(P100&lt;&gt;"""", GOOGLETRANSLATE(P100, ""RO"", ""EN""), """")"),"1")</f>
        <v>1</v>
      </c>
      <c r="F100" s="5" t="str">
        <f>IFERROR(__xludf.DUMMYFUNCTION("IF(Q100&lt;&gt;"""", GOOGLETRANSLATE(Q100, ""RO"", ""EN""), """")"),"2")</f>
        <v>2</v>
      </c>
      <c r="G100" s="5" t="str">
        <f>IFERROR(__xludf.DUMMYFUNCTION("IF(R100&lt;&gt;"""", GOOGLETRANSLATE(R100, ""RO"", ""EN""), """")"),"3")</f>
        <v>3</v>
      </c>
      <c r="H100" s="5" t="str">
        <f>IFERROR(__xludf.DUMMYFUNCTION("IF(U100&lt;&gt;"""", GOOGLETRANSLATE(U100, ""RO"", ""EN""), """")"),"4")</f>
        <v>4</v>
      </c>
      <c r="I100" s="5" t="str">
        <f>IFERROR(__xludf.DUMMYFUNCTION("IF(V100&lt;&gt;"""", GOOGLETRANSLATE(V100, ""RO"", ""EN""), """")"),"5")</f>
        <v>5</v>
      </c>
      <c r="J100" s="5" t="str">
        <f>IFERROR(__xludf.DUMMYFUNCTION("IF(W100&lt;&gt;"""", GOOGLETRANSLATE(W100, ""RO"", ""EN""), """")"),"6")</f>
        <v>6</v>
      </c>
      <c r="K100" s="5" t="str">
        <f>IFERROR(__xludf.DUMMYFUNCTION("IF(X100&lt;&gt;"""", GOOGLETRANSLATE(X100, ""RO"", ""EN""), """")"),"7")</f>
        <v>7</v>
      </c>
      <c r="L100" s="5" t="str">
        <f>IFERROR(__xludf.DUMMYFUNCTION("IF(S100&lt;&gt;"""", GOOGLETRANSLATE(S100, ""RO"", ""EN""), """")"),"8")</f>
        <v>8</v>
      </c>
      <c r="M100" s="5" t="str">
        <f>IFERROR(__xludf.DUMMYFUNCTION("IF(T100&lt;&gt;"""", GOOGLETRANSLATE(T100, ""RO"", ""EN""), """")"),"9")</f>
        <v>9</v>
      </c>
      <c r="N100" s="5" t="str">
        <f>IFERROR(__xludf.DUMMYFUNCTION("IF(Y100&lt;&gt;"""", GOOGLETRANSLATE(Y100, ""RO"", ""EN""), """")"),"Fully")</f>
        <v>Fully</v>
      </c>
      <c r="O100" s="4" t="s">
        <v>363</v>
      </c>
      <c r="P100" s="4" t="s">
        <v>168</v>
      </c>
      <c r="Q100" s="4" t="s">
        <v>169</v>
      </c>
      <c r="R100" s="4" t="s">
        <v>170</v>
      </c>
      <c r="S100" s="4" t="s">
        <v>171</v>
      </c>
      <c r="T100" s="4" t="s">
        <v>172</v>
      </c>
      <c r="U100" s="4" t="s">
        <v>173</v>
      </c>
      <c r="V100" s="4" t="s">
        <v>174</v>
      </c>
      <c r="W100" s="4" t="s">
        <v>175</v>
      </c>
      <c r="X100" s="4" t="s">
        <v>176</v>
      </c>
      <c r="Y100" s="4" t="s">
        <v>364</v>
      </c>
      <c r="Z100" s="4" t="s">
        <v>177</v>
      </c>
      <c r="AA100" s="4" t="s">
        <v>103</v>
      </c>
      <c r="AB100" s="4" t="s">
        <v>104</v>
      </c>
    </row>
    <row r="101" ht="15.75" customHeight="1">
      <c r="A101" s="4" t="s">
        <v>369</v>
      </c>
      <c r="B101" s="4" t="s">
        <v>370</v>
      </c>
      <c r="C101" s="4" t="str">
        <f>IFERROR(__xludf.DUMMYFUNCTION("GOOGLETRANSLATE(B101, ""RO"", ""EN"")"),"Mircea Geoana is cultured and educated")</f>
        <v>Mircea Geoana is cultured and educated</v>
      </c>
      <c r="D101" s="5" t="str">
        <f>IFERROR(__xludf.DUMMYFUNCTION("IF(O101&lt;&gt;"""", GOOGLETRANSLATE(O101, ""RO"", ""EN""), """")"),"Not at all")</f>
        <v>Not at all</v>
      </c>
      <c r="E101" s="6" t="str">
        <f>IFERROR(__xludf.DUMMYFUNCTION("IF(P101&lt;&gt;"""", GOOGLETRANSLATE(P101, ""RO"", ""EN""), """")"),"1")</f>
        <v>1</v>
      </c>
      <c r="F101" s="5" t="str">
        <f>IFERROR(__xludf.DUMMYFUNCTION("IF(Q101&lt;&gt;"""", GOOGLETRANSLATE(Q101, ""RO"", ""EN""), """")"),"2")</f>
        <v>2</v>
      </c>
      <c r="G101" s="5" t="str">
        <f>IFERROR(__xludf.DUMMYFUNCTION("IF(R101&lt;&gt;"""", GOOGLETRANSLATE(R101, ""RO"", ""EN""), """")"),"3")</f>
        <v>3</v>
      </c>
      <c r="H101" s="5" t="str">
        <f>IFERROR(__xludf.DUMMYFUNCTION("IF(U101&lt;&gt;"""", GOOGLETRANSLATE(U101, ""RO"", ""EN""), """")"),"4")</f>
        <v>4</v>
      </c>
      <c r="I101" s="5" t="str">
        <f>IFERROR(__xludf.DUMMYFUNCTION("IF(V101&lt;&gt;"""", GOOGLETRANSLATE(V101, ""RO"", ""EN""), """")"),"5")</f>
        <v>5</v>
      </c>
      <c r="J101" s="5" t="str">
        <f>IFERROR(__xludf.DUMMYFUNCTION("IF(W101&lt;&gt;"""", GOOGLETRANSLATE(W101, ""RO"", ""EN""), """")"),"6")</f>
        <v>6</v>
      </c>
      <c r="K101" s="5" t="str">
        <f>IFERROR(__xludf.DUMMYFUNCTION("IF(X101&lt;&gt;"""", GOOGLETRANSLATE(X101, ""RO"", ""EN""), """")"),"7")</f>
        <v>7</v>
      </c>
      <c r="L101" s="5" t="str">
        <f>IFERROR(__xludf.DUMMYFUNCTION("IF(S101&lt;&gt;"""", GOOGLETRANSLATE(S101, ""RO"", ""EN""), """")"),"8")</f>
        <v>8</v>
      </c>
      <c r="M101" s="5" t="str">
        <f>IFERROR(__xludf.DUMMYFUNCTION("IF(T101&lt;&gt;"""", GOOGLETRANSLATE(T101, ""RO"", ""EN""), """")"),"9")</f>
        <v>9</v>
      </c>
      <c r="N101" s="5" t="str">
        <f>IFERROR(__xludf.DUMMYFUNCTION("IF(Y101&lt;&gt;"""", GOOGLETRANSLATE(Y101, ""RO"", ""EN""), """")"),"Fully")</f>
        <v>Fully</v>
      </c>
      <c r="O101" s="4" t="s">
        <v>363</v>
      </c>
      <c r="P101" s="4" t="s">
        <v>168</v>
      </c>
      <c r="Q101" s="4" t="s">
        <v>169</v>
      </c>
      <c r="R101" s="4" t="s">
        <v>170</v>
      </c>
      <c r="S101" s="4" t="s">
        <v>171</v>
      </c>
      <c r="T101" s="4" t="s">
        <v>172</v>
      </c>
      <c r="U101" s="4" t="s">
        <v>173</v>
      </c>
      <c r="V101" s="4" t="s">
        <v>174</v>
      </c>
      <c r="W101" s="4" t="s">
        <v>175</v>
      </c>
      <c r="X101" s="4" t="s">
        <v>176</v>
      </c>
      <c r="Y101" s="4" t="s">
        <v>364</v>
      </c>
      <c r="Z101" s="4" t="s">
        <v>177</v>
      </c>
      <c r="AA101" s="4" t="s">
        <v>103</v>
      </c>
      <c r="AB101" s="4" t="s">
        <v>104</v>
      </c>
    </row>
    <row r="102" ht="15.75" customHeight="1">
      <c r="A102" s="4" t="s">
        <v>371</v>
      </c>
      <c r="B102" s="4" t="s">
        <v>372</v>
      </c>
      <c r="C102" s="4" t="str">
        <f>IFERROR(__xludf.DUMMYFUNCTION("GOOGLETRANSLATE(B102, ""RO"", ""EN"")"),"Crin Antonescu is cultured and educated")</f>
        <v>Crin Antonescu is cultured and educated</v>
      </c>
      <c r="D102" s="5" t="str">
        <f>IFERROR(__xludf.DUMMYFUNCTION("IF(O102&lt;&gt;"""", GOOGLETRANSLATE(O102, ""RO"", ""EN""), """")"),"Not at all")</f>
        <v>Not at all</v>
      </c>
      <c r="E102" s="6" t="str">
        <f>IFERROR(__xludf.DUMMYFUNCTION("IF(P102&lt;&gt;"""", GOOGLETRANSLATE(P102, ""RO"", ""EN""), """")"),"1")</f>
        <v>1</v>
      </c>
      <c r="F102" s="5" t="str">
        <f>IFERROR(__xludf.DUMMYFUNCTION("IF(Q102&lt;&gt;"""", GOOGLETRANSLATE(Q102, ""RO"", ""EN""), """")"),"2")</f>
        <v>2</v>
      </c>
      <c r="G102" s="5" t="str">
        <f>IFERROR(__xludf.DUMMYFUNCTION("IF(R102&lt;&gt;"""", GOOGLETRANSLATE(R102, ""RO"", ""EN""), """")"),"3")</f>
        <v>3</v>
      </c>
      <c r="H102" s="5" t="str">
        <f>IFERROR(__xludf.DUMMYFUNCTION("IF(U102&lt;&gt;"""", GOOGLETRANSLATE(U102, ""RO"", ""EN""), """")"),"4")</f>
        <v>4</v>
      </c>
      <c r="I102" s="5" t="str">
        <f>IFERROR(__xludf.DUMMYFUNCTION("IF(V102&lt;&gt;"""", GOOGLETRANSLATE(V102, ""RO"", ""EN""), """")"),"5")</f>
        <v>5</v>
      </c>
      <c r="J102" s="5" t="str">
        <f>IFERROR(__xludf.DUMMYFUNCTION("IF(W102&lt;&gt;"""", GOOGLETRANSLATE(W102, ""RO"", ""EN""), """")"),"6")</f>
        <v>6</v>
      </c>
      <c r="K102" s="5" t="str">
        <f>IFERROR(__xludf.DUMMYFUNCTION("IF(X102&lt;&gt;"""", GOOGLETRANSLATE(X102, ""RO"", ""EN""), """")"),"7")</f>
        <v>7</v>
      </c>
      <c r="L102" s="5" t="str">
        <f>IFERROR(__xludf.DUMMYFUNCTION("IF(S102&lt;&gt;"""", GOOGLETRANSLATE(S102, ""RO"", ""EN""), """")"),"8")</f>
        <v>8</v>
      </c>
      <c r="M102" s="5" t="str">
        <f>IFERROR(__xludf.DUMMYFUNCTION("IF(T102&lt;&gt;"""", GOOGLETRANSLATE(T102, ""RO"", ""EN""), """")"),"9")</f>
        <v>9</v>
      </c>
      <c r="N102" s="5" t="str">
        <f>IFERROR(__xludf.DUMMYFUNCTION("IF(Y102&lt;&gt;"""", GOOGLETRANSLATE(Y102, ""RO"", ""EN""), """")"),"Fully")</f>
        <v>Fully</v>
      </c>
      <c r="O102" s="4" t="s">
        <v>363</v>
      </c>
      <c r="P102" s="4" t="s">
        <v>168</v>
      </c>
      <c r="Q102" s="4" t="s">
        <v>169</v>
      </c>
      <c r="R102" s="4" t="s">
        <v>170</v>
      </c>
      <c r="S102" s="4" t="s">
        <v>171</v>
      </c>
      <c r="T102" s="4" t="s">
        <v>172</v>
      </c>
      <c r="U102" s="4" t="s">
        <v>173</v>
      </c>
      <c r="V102" s="4" t="s">
        <v>174</v>
      </c>
      <c r="W102" s="4" t="s">
        <v>175</v>
      </c>
      <c r="X102" s="4" t="s">
        <v>176</v>
      </c>
      <c r="Y102" s="4" t="s">
        <v>364</v>
      </c>
      <c r="Z102" s="4" t="s">
        <v>177</v>
      </c>
      <c r="AA102" s="4" t="s">
        <v>103</v>
      </c>
      <c r="AB102" s="4" t="s">
        <v>104</v>
      </c>
    </row>
    <row r="103" ht="15.75" customHeight="1">
      <c r="A103" s="4" t="s">
        <v>373</v>
      </c>
      <c r="B103" s="4" t="s">
        <v>374</v>
      </c>
      <c r="C103" s="4" t="str">
        <f>IFERROR(__xludf.DUMMYFUNCTION("GOOGLETRANSLATE(B103, ""RO"", ""EN"")"),"Traian Basescu is cultured and educated")</f>
        <v>Traian Basescu is cultured and educated</v>
      </c>
      <c r="D103" s="5" t="str">
        <f>IFERROR(__xludf.DUMMYFUNCTION("IF(O103&lt;&gt;"""", GOOGLETRANSLATE(O103, ""RO"", ""EN""), """")"),"Not at all")</f>
        <v>Not at all</v>
      </c>
      <c r="E103" s="6" t="str">
        <f>IFERROR(__xludf.DUMMYFUNCTION("IF(P103&lt;&gt;"""", GOOGLETRANSLATE(P103, ""RO"", ""EN""), """")"),"1")</f>
        <v>1</v>
      </c>
      <c r="F103" s="5" t="str">
        <f>IFERROR(__xludf.DUMMYFUNCTION("IF(Q103&lt;&gt;"""", GOOGLETRANSLATE(Q103, ""RO"", ""EN""), """")"),"2")</f>
        <v>2</v>
      </c>
      <c r="G103" s="5" t="str">
        <f>IFERROR(__xludf.DUMMYFUNCTION("IF(R103&lt;&gt;"""", GOOGLETRANSLATE(R103, ""RO"", ""EN""), """")"),"3")</f>
        <v>3</v>
      </c>
      <c r="H103" s="5" t="str">
        <f>IFERROR(__xludf.DUMMYFUNCTION("IF(U103&lt;&gt;"""", GOOGLETRANSLATE(U103, ""RO"", ""EN""), """")"),"4")</f>
        <v>4</v>
      </c>
      <c r="I103" s="5" t="str">
        <f>IFERROR(__xludf.DUMMYFUNCTION("IF(V103&lt;&gt;"""", GOOGLETRANSLATE(V103, ""RO"", ""EN""), """")"),"5")</f>
        <v>5</v>
      </c>
      <c r="J103" s="5" t="str">
        <f>IFERROR(__xludf.DUMMYFUNCTION("IF(W103&lt;&gt;"""", GOOGLETRANSLATE(W103, ""RO"", ""EN""), """")"),"6")</f>
        <v>6</v>
      </c>
      <c r="K103" s="5" t="str">
        <f>IFERROR(__xludf.DUMMYFUNCTION("IF(X103&lt;&gt;"""", GOOGLETRANSLATE(X103, ""RO"", ""EN""), """")"),"7")</f>
        <v>7</v>
      </c>
      <c r="L103" s="5" t="str">
        <f>IFERROR(__xludf.DUMMYFUNCTION("IF(S103&lt;&gt;"""", GOOGLETRANSLATE(S103, ""RO"", ""EN""), """")"),"8")</f>
        <v>8</v>
      </c>
      <c r="M103" s="5" t="str">
        <f>IFERROR(__xludf.DUMMYFUNCTION("IF(T103&lt;&gt;"""", GOOGLETRANSLATE(T103, ""RO"", ""EN""), """")"),"9")</f>
        <v>9</v>
      </c>
      <c r="N103" s="5" t="str">
        <f>IFERROR(__xludf.DUMMYFUNCTION("IF(Y103&lt;&gt;"""", GOOGLETRANSLATE(Y103, ""RO"", ""EN""), """")"),"Fully")</f>
        <v>Fully</v>
      </c>
      <c r="O103" s="4" t="s">
        <v>363</v>
      </c>
      <c r="P103" s="4" t="s">
        <v>168</v>
      </c>
      <c r="Q103" s="4" t="s">
        <v>169</v>
      </c>
      <c r="R103" s="4" t="s">
        <v>170</v>
      </c>
      <c r="S103" s="4" t="s">
        <v>171</v>
      </c>
      <c r="T103" s="4" t="s">
        <v>172</v>
      </c>
      <c r="U103" s="4" t="s">
        <v>173</v>
      </c>
      <c r="V103" s="4" t="s">
        <v>174</v>
      </c>
      <c r="W103" s="4" t="s">
        <v>175</v>
      </c>
      <c r="X103" s="4" t="s">
        <v>176</v>
      </c>
      <c r="Y103" s="4" t="s">
        <v>364</v>
      </c>
      <c r="Z103" s="4" t="s">
        <v>177</v>
      </c>
      <c r="AA103" s="4" t="s">
        <v>103</v>
      </c>
      <c r="AB103" s="4" t="s">
        <v>104</v>
      </c>
    </row>
    <row r="104" ht="15.75" customHeight="1">
      <c r="A104" s="4" t="s">
        <v>375</v>
      </c>
      <c r="B104" s="4" t="s">
        <v>376</v>
      </c>
      <c r="C104" s="4" t="str">
        <f>IFERROR(__xludf.DUMMYFUNCTION("GOOGLETRANSLATE(B104, ""RO"", ""EN"")"),"Mircea Geoana is close to people like me")</f>
        <v>Mircea Geoana is close to people like me</v>
      </c>
      <c r="D104" s="5" t="str">
        <f>IFERROR(__xludf.DUMMYFUNCTION("IF(O104&lt;&gt;"""", GOOGLETRANSLATE(O104, ""RO"", ""EN""), """")"),"Not at all")</f>
        <v>Not at all</v>
      </c>
      <c r="E104" s="6" t="str">
        <f>IFERROR(__xludf.DUMMYFUNCTION("IF(P104&lt;&gt;"""", GOOGLETRANSLATE(P104, ""RO"", ""EN""), """")"),"1")</f>
        <v>1</v>
      </c>
      <c r="F104" s="5" t="str">
        <f>IFERROR(__xludf.DUMMYFUNCTION("IF(Q104&lt;&gt;"""", GOOGLETRANSLATE(Q104, ""RO"", ""EN""), """")"),"2")</f>
        <v>2</v>
      </c>
      <c r="G104" s="5" t="str">
        <f>IFERROR(__xludf.DUMMYFUNCTION("IF(R104&lt;&gt;"""", GOOGLETRANSLATE(R104, ""RO"", ""EN""), """")"),"3")</f>
        <v>3</v>
      </c>
      <c r="H104" s="5" t="str">
        <f>IFERROR(__xludf.DUMMYFUNCTION("IF(U104&lt;&gt;"""", GOOGLETRANSLATE(U104, ""RO"", ""EN""), """")"),"4")</f>
        <v>4</v>
      </c>
      <c r="I104" s="5" t="str">
        <f>IFERROR(__xludf.DUMMYFUNCTION("IF(V104&lt;&gt;"""", GOOGLETRANSLATE(V104, ""RO"", ""EN""), """")"),"5")</f>
        <v>5</v>
      </c>
      <c r="J104" s="5" t="str">
        <f>IFERROR(__xludf.DUMMYFUNCTION("IF(W104&lt;&gt;"""", GOOGLETRANSLATE(W104, ""RO"", ""EN""), """")"),"6")</f>
        <v>6</v>
      </c>
      <c r="K104" s="5" t="str">
        <f>IFERROR(__xludf.DUMMYFUNCTION("IF(X104&lt;&gt;"""", GOOGLETRANSLATE(X104, ""RO"", ""EN""), """")"),"7")</f>
        <v>7</v>
      </c>
      <c r="L104" s="5" t="str">
        <f>IFERROR(__xludf.DUMMYFUNCTION("IF(S104&lt;&gt;"""", GOOGLETRANSLATE(S104, ""RO"", ""EN""), """")"),"8")</f>
        <v>8</v>
      </c>
      <c r="M104" s="5" t="str">
        <f>IFERROR(__xludf.DUMMYFUNCTION("IF(T104&lt;&gt;"""", GOOGLETRANSLATE(T104, ""RO"", ""EN""), """")"),"9")</f>
        <v>9</v>
      </c>
      <c r="N104" s="5" t="str">
        <f>IFERROR(__xludf.DUMMYFUNCTION("IF(Y104&lt;&gt;"""", GOOGLETRANSLATE(Y104, ""RO"", ""EN""), """")"),"Fully")</f>
        <v>Fully</v>
      </c>
      <c r="O104" s="4" t="s">
        <v>363</v>
      </c>
      <c r="P104" s="4" t="s">
        <v>168</v>
      </c>
      <c r="Q104" s="4" t="s">
        <v>169</v>
      </c>
      <c r="R104" s="4" t="s">
        <v>170</v>
      </c>
      <c r="S104" s="4" t="s">
        <v>171</v>
      </c>
      <c r="T104" s="4" t="s">
        <v>172</v>
      </c>
      <c r="U104" s="4" t="s">
        <v>173</v>
      </c>
      <c r="V104" s="4" t="s">
        <v>174</v>
      </c>
      <c r="W104" s="4" t="s">
        <v>175</v>
      </c>
      <c r="X104" s="4" t="s">
        <v>176</v>
      </c>
      <c r="Y104" s="4" t="s">
        <v>364</v>
      </c>
      <c r="Z104" s="4" t="s">
        <v>177</v>
      </c>
      <c r="AA104" s="4" t="s">
        <v>103</v>
      </c>
      <c r="AB104" s="4" t="s">
        <v>104</v>
      </c>
    </row>
    <row r="105" ht="15.75" customHeight="1">
      <c r="A105" s="4" t="s">
        <v>377</v>
      </c>
      <c r="B105" s="4" t="s">
        <v>378</v>
      </c>
      <c r="C105" s="4" t="str">
        <f>IFERROR(__xludf.DUMMYFUNCTION("GOOGLETRANSLATE(B105, ""RO"", ""EN"")"),"Crin Antonescu is close to people like me")</f>
        <v>Crin Antonescu is close to people like me</v>
      </c>
      <c r="D105" s="5" t="str">
        <f>IFERROR(__xludf.DUMMYFUNCTION("IF(O105&lt;&gt;"""", GOOGLETRANSLATE(O105, ""RO"", ""EN""), """")"),"Not at all")</f>
        <v>Not at all</v>
      </c>
      <c r="E105" s="6" t="str">
        <f>IFERROR(__xludf.DUMMYFUNCTION("IF(P105&lt;&gt;"""", GOOGLETRANSLATE(P105, ""RO"", ""EN""), """")"),"1")</f>
        <v>1</v>
      </c>
      <c r="F105" s="5" t="str">
        <f>IFERROR(__xludf.DUMMYFUNCTION("IF(Q105&lt;&gt;"""", GOOGLETRANSLATE(Q105, ""RO"", ""EN""), """")"),"2")</f>
        <v>2</v>
      </c>
      <c r="G105" s="5" t="str">
        <f>IFERROR(__xludf.DUMMYFUNCTION("IF(R105&lt;&gt;"""", GOOGLETRANSLATE(R105, ""RO"", ""EN""), """")"),"3")</f>
        <v>3</v>
      </c>
      <c r="H105" s="5" t="str">
        <f>IFERROR(__xludf.DUMMYFUNCTION("IF(U105&lt;&gt;"""", GOOGLETRANSLATE(U105, ""RO"", ""EN""), """")"),"4")</f>
        <v>4</v>
      </c>
      <c r="I105" s="5" t="str">
        <f>IFERROR(__xludf.DUMMYFUNCTION("IF(V105&lt;&gt;"""", GOOGLETRANSLATE(V105, ""RO"", ""EN""), """")"),"5")</f>
        <v>5</v>
      </c>
      <c r="J105" s="5" t="str">
        <f>IFERROR(__xludf.DUMMYFUNCTION("IF(W105&lt;&gt;"""", GOOGLETRANSLATE(W105, ""RO"", ""EN""), """")"),"6")</f>
        <v>6</v>
      </c>
      <c r="K105" s="5" t="str">
        <f>IFERROR(__xludf.DUMMYFUNCTION("IF(X105&lt;&gt;"""", GOOGLETRANSLATE(X105, ""RO"", ""EN""), """")"),"7")</f>
        <v>7</v>
      </c>
      <c r="L105" s="5" t="str">
        <f>IFERROR(__xludf.DUMMYFUNCTION("IF(S105&lt;&gt;"""", GOOGLETRANSLATE(S105, ""RO"", ""EN""), """")"),"8")</f>
        <v>8</v>
      </c>
      <c r="M105" s="5" t="str">
        <f>IFERROR(__xludf.DUMMYFUNCTION("IF(T105&lt;&gt;"""", GOOGLETRANSLATE(T105, ""RO"", ""EN""), """")"),"9")</f>
        <v>9</v>
      </c>
      <c r="N105" s="5" t="str">
        <f>IFERROR(__xludf.DUMMYFUNCTION("IF(Y105&lt;&gt;"""", GOOGLETRANSLATE(Y105, ""RO"", ""EN""), """")"),"Fully")</f>
        <v>Fully</v>
      </c>
      <c r="O105" s="4" t="s">
        <v>363</v>
      </c>
      <c r="P105" s="4" t="s">
        <v>168</v>
      </c>
      <c r="Q105" s="4" t="s">
        <v>169</v>
      </c>
      <c r="R105" s="4" t="s">
        <v>170</v>
      </c>
      <c r="S105" s="4" t="s">
        <v>171</v>
      </c>
      <c r="T105" s="4" t="s">
        <v>172</v>
      </c>
      <c r="U105" s="4" t="s">
        <v>173</v>
      </c>
      <c r="V105" s="4" t="s">
        <v>174</v>
      </c>
      <c r="W105" s="4" t="s">
        <v>175</v>
      </c>
      <c r="X105" s="4" t="s">
        <v>176</v>
      </c>
      <c r="Y105" s="4" t="s">
        <v>364</v>
      </c>
      <c r="Z105" s="4" t="s">
        <v>177</v>
      </c>
      <c r="AA105" s="4" t="s">
        <v>103</v>
      </c>
      <c r="AB105" s="4" t="s">
        <v>104</v>
      </c>
    </row>
    <row r="106" ht="15.75" customHeight="1">
      <c r="A106" s="4" t="s">
        <v>379</v>
      </c>
      <c r="B106" s="4" t="s">
        <v>380</v>
      </c>
      <c r="C106" s="4" t="str">
        <f>IFERROR(__xludf.DUMMYFUNCTION("GOOGLETRANSLATE(B106, ""RO"", ""EN"")"),"Traian Basescu is close to people like me")</f>
        <v>Traian Basescu is close to people like me</v>
      </c>
      <c r="D106" s="5" t="str">
        <f>IFERROR(__xludf.DUMMYFUNCTION("IF(O106&lt;&gt;"""", GOOGLETRANSLATE(O106, ""RO"", ""EN""), """")"),"Not at all")</f>
        <v>Not at all</v>
      </c>
      <c r="E106" s="6" t="str">
        <f>IFERROR(__xludf.DUMMYFUNCTION("IF(P106&lt;&gt;"""", GOOGLETRANSLATE(P106, ""RO"", ""EN""), """")"),"1")</f>
        <v>1</v>
      </c>
      <c r="F106" s="5" t="str">
        <f>IFERROR(__xludf.DUMMYFUNCTION("IF(Q106&lt;&gt;"""", GOOGLETRANSLATE(Q106, ""RO"", ""EN""), """")"),"2")</f>
        <v>2</v>
      </c>
      <c r="G106" s="5" t="str">
        <f>IFERROR(__xludf.DUMMYFUNCTION("IF(R106&lt;&gt;"""", GOOGLETRANSLATE(R106, ""RO"", ""EN""), """")"),"3")</f>
        <v>3</v>
      </c>
      <c r="H106" s="5" t="str">
        <f>IFERROR(__xludf.DUMMYFUNCTION("IF(U106&lt;&gt;"""", GOOGLETRANSLATE(U106, ""RO"", ""EN""), """")"),"4")</f>
        <v>4</v>
      </c>
      <c r="I106" s="5" t="str">
        <f>IFERROR(__xludf.DUMMYFUNCTION("IF(V106&lt;&gt;"""", GOOGLETRANSLATE(V106, ""RO"", ""EN""), """")"),"5")</f>
        <v>5</v>
      </c>
      <c r="J106" s="5" t="str">
        <f>IFERROR(__xludf.DUMMYFUNCTION("IF(W106&lt;&gt;"""", GOOGLETRANSLATE(W106, ""RO"", ""EN""), """")"),"6")</f>
        <v>6</v>
      </c>
      <c r="K106" s="5" t="str">
        <f>IFERROR(__xludf.DUMMYFUNCTION("IF(X106&lt;&gt;"""", GOOGLETRANSLATE(X106, ""RO"", ""EN""), """")"),"7")</f>
        <v>7</v>
      </c>
      <c r="L106" s="5" t="str">
        <f>IFERROR(__xludf.DUMMYFUNCTION("IF(S106&lt;&gt;"""", GOOGLETRANSLATE(S106, ""RO"", ""EN""), """")"),"8")</f>
        <v>8</v>
      </c>
      <c r="M106" s="5" t="str">
        <f>IFERROR(__xludf.DUMMYFUNCTION("IF(T106&lt;&gt;"""", GOOGLETRANSLATE(T106, ""RO"", ""EN""), """")"),"9")</f>
        <v>9</v>
      </c>
      <c r="N106" s="5" t="str">
        <f>IFERROR(__xludf.DUMMYFUNCTION("IF(Y106&lt;&gt;"""", GOOGLETRANSLATE(Y106, ""RO"", ""EN""), """")"),"Fully")</f>
        <v>Fully</v>
      </c>
      <c r="O106" s="4" t="s">
        <v>363</v>
      </c>
      <c r="P106" s="4" t="s">
        <v>168</v>
      </c>
      <c r="Q106" s="4" t="s">
        <v>169</v>
      </c>
      <c r="R106" s="4" t="s">
        <v>170</v>
      </c>
      <c r="S106" s="4" t="s">
        <v>171</v>
      </c>
      <c r="T106" s="4" t="s">
        <v>172</v>
      </c>
      <c r="U106" s="4" t="s">
        <v>173</v>
      </c>
      <c r="V106" s="4" t="s">
        <v>174</v>
      </c>
      <c r="W106" s="4" t="s">
        <v>175</v>
      </c>
      <c r="X106" s="4" t="s">
        <v>176</v>
      </c>
      <c r="Y106" s="4" t="s">
        <v>364</v>
      </c>
      <c r="Z106" s="4" t="s">
        <v>177</v>
      </c>
      <c r="AA106" s="4" t="s">
        <v>103</v>
      </c>
      <c r="AB106" s="4" t="s">
        <v>104</v>
      </c>
    </row>
    <row r="107" ht="15.75" customHeight="1">
      <c r="A107" s="4" t="s">
        <v>381</v>
      </c>
      <c r="B107" s="4" t="s">
        <v>382</v>
      </c>
      <c r="C107" s="4" t="str">
        <f>IFERROR(__xludf.DUMMYFUNCTION("GOOGLETRANSLATE(B107, ""RO"", ""EN"")"),"Mircea Geoana always does what promises")</f>
        <v>Mircea Geoana always does what promises</v>
      </c>
      <c r="D107" s="5" t="str">
        <f>IFERROR(__xludf.DUMMYFUNCTION("IF(O107&lt;&gt;"""", GOOGLETRANSLATE(O107, ""RO"", ""EN""), """")"),"Not at all")</f>
        <v>Not at all</v>
      </c>
      <c r="E107" s="6" t="str">
        <f>IFERROR(__xludf.DUMMYFUNCTION("IF(P107&lt;&gt;"""", GOOGLETRANSLATE(P107, ""RO"", ""EN""), """")"),"1")</f>
        <v>1</v>
      </c>
      <c r="F107" s="5" t="str">
        <f>IFERROR(__xludf.DUMMYFUNCTION("IF(Q107&lt;&gt;"""", GOOGLETRANSLATE(Q107, ""RO"", ""EN""), """")"),"2")</f>
        <v>2</v>
      </c>
      <c r="G107" s="5" t="str">
        <f>IFERROR(__xludf.DUMMYFUNCTION("IF(R107&lt;&gt;"""", GOOGLETRANSLATE(R107, ""RO"", ""EN""), """")"),"3")</f>
        <v>3</v>
      </c>
      <c r="H107" s="5" t="str">
        <f>IFERROR(__xludf.DUMMYFUNCTION("IF(U107&lt;&gt;"""", GOOGLETRANSLATE(U107, ""RO"", ""EN""), """")"),"4")</f>
        <v>4</v>
      </c>
      <c r="I107" s="5" t="str">
        <f>IFERROR(__xludf.DUMMYFUNCTION("IF(V107&lt;&gt;"""", GOOGLETRANSLATE(V107, ""RO"", ""EN""), """")"),"5")</f>
        <v>5</v>
      </c>
      <c r="J107" s="5" t="str">
        <f>IFERROR(__xludf.DUMMYFUNCTION("IF(W107&lt;&gt;"""", GOOGLETRANSLATE(W107, ""RO"", ""EN""), """")"),"6")</f>
        <v>6</v>
      </c>
      <c r="K107" s="5" t="str">
        <f>IFERROR(__xludf.DUMMYFUNCTION("IF(X107&lt;&gt;"""", GOOGLETRANSLATE(X107, ""RO"", ""EN""), """")"),"7")</f>
        <v>7</v>
      </c>
      <c r="L107" s="5" t="str">
        <f>IFERROR(__xludf.DUMMYFUNCTION("IF(S107&lt;&gt;"""", GOOGLETRANSLATE(S107, ""RO"", ""EN""), """")"),"8")</f>
        <v>8</v>
      </c>
      <c r="M107" s="5" t="str">
        <f>IFERROR(__xludf.DUMMYFUNCTION("IF(T107&lt;&gt;"""", GOOGLETRANSLATE(T107, ""RO"", ""EN""), """")"),"9")</f>
        <v>9</v>
      </c>
      <c r="N107" s="5" t="str">
        <f>IFERROR(__xludf.DUMMYFUNCTION("IF(Y107&lt;&gt;"""", GOOGLETRANSLATE(Y107, ""RO"", ""EN""), """")"),"Fully")</f>
        <v>Fully</v>
      </c>
      <c r="O107" s="4" t="s">
        <v>363</v>
      </c>
      <c r="P107" s="4" t="s">
        <v>168</v>
      </c>
      <c r="Q107" s="4" t="s">
        <v>169</v>
      </c>
      <c r="R107" s="4" t="s">
        <v>170</v>
      </c>
      <c r="S107" s="4" t="s">
        <v>171</v>
      </c>
      <c r="T107" s="4" t="s">
        <v>172</v>
      </c>
      <c r="U107" s="4" t="s">
        <v>173</v>
      </c>
      <c r="V107" s="4" t="s">
        <v>174</v>
      </c>
      <c r="W107" s="4" t="s">
        <v>175</v>
      </c>
      <c r="X107" s="4" t="s">
        <v>176</v>
      </c>
      <c r="Y107" s="4" t="s">
        <v>364</v>
      </c>
      <c r="Z107" s="4" t="s">
        <v>177</v>
      </c>
      <c r="AA107" s="4" t="s">
        <v>103</v>
      </c>
      <c r="AB107" s="4" t="s">
        <v>104</v>
      </c>
    </row>
    <row r="108" ht="15.75" customHeight="1">
      <c r="A108" s="4" t="s">
        <v>383</v>
      </c>
      <c r="B108" s="4" t="s">
        <v>384</v>
      </c>
      <c r="C108" s="4" t="str">
        <f>IFERROR(__xludf.DUMMYFUNCTION("GOOGLETRANSLATE(B108, ""RO"", ""EN"")"),"Crin Antonescu always does what he promises")</f>
        <v>Crin Antonescu always does what he promises</v>
      </c>
      <c r="D108" s="5" t="str">
        <f>IFERROR(__xludf.DUMMYFUNCTION("IF(O108&lt;&gt;"""", GOOGLETRANSLATE(O108, ""RO"", ""EN""), """")"),"Not at all")</f>
        <v>Not at all</v>
      </c>
      <c r="E108" s="6" t="str">
        <f>IFERROR(__xludf.DUMMYFUNCTION("IF(P108&lt;&gt;"""", GOOGLETRANSLATE(P108, ""RO"", ""EN""), """")"),"1")</f>
        <v>1</v>
      </c>
      <c r="F108" s="5" t="str">
        <f>IFERROR(__xludf.DUMMYFUNCTION("IF(Q108&lt;&gt;"""", GOOGLETRANSLATE(Q108, ""RO"", ""EN""), """")"),"2")</f>
        <v>2</v>
      </c>
      <c r="G108" s="5" t="str">
        <f>IFERROR(__xludf.DUMMYFUNCTION("IF(R108&lt;&gt;"""", GOOGLETRANSLATE(R108, ""RO"", ""EN""), """")"),"3")</f>
        <v>3</v>
      </c>
      <c r="H108" s="5" t="str">
        <f>IFERROR(__xludf.DUMMYFUNCTION("IF(U108&lt;&gt;"""", GOOGLETRANSLATE(U108, ""RO"", ""EN""), """")"),"4")</f>
        <v>4</v>
      </c>
      <c r="I108" s="5" t="str">
        <f>IFERROR(__xludf.DUMMYFUNCTION("IF(V108&lt;&gt;"""", GOOGLETRANSLATE(V108, ""RO"", ""EN""), """")"),"5")</f>
        <v>5</v>
      </c>
      <c r="J108" s="5" t="str">
        <f>IFERROR(__xludf.DUMMYFUNCTION("IF(W108&lt;&gt;"""", GOOGLETRANSLATE(W108, ""RO"", ""EN""), """")"),"6")</f>
        <v>6</v>
      </c>
      <c r="K108" s="5" t="str">
        <f>IFERROR(__xludf.DUMMYFUNCTION("IF(X108&lt;&gt;"""", GOOGLETRANSLATE(X108, ""RO"", ""EN""), """")"),"7")</f>
        <v>7</v>
      </c>
      <c r="L108" s="5" t="str">
        <f>IFERROR(__xludf.DUMMYFUNCTION("IF(S108&lt;&gt;"""", GOOGLETRANSLATE(S108, ""RO"", ""EN""), """")"),"8")</f>
        <v>8</v>
      </c>
      <c r="M108" s="5" t="str">
        <f>IFERROR(__xludf.DUMMYFUNCTION("IF(T108&lt;&gt;"""", GOOGLETRANSLATE(T108, ""RO"", ""EN""), """")"),"9")</f>
        <v>9</v>
      </c>
      <c r="N108" s="5" t="str">
        <f>IFERROR(__xludf.DUMMYFUNCTION("IF(Y108&lt;&gt;"""", GOOGLETRANSLATE(Y108, ""RO"", ""EN""), """")"),"Fully")</f>
        <v>Fully</v>
      </c>
      <c r="O108" s="4" t="s">
        <v>363</v>
      </c>
      <c r="P108" s="4" t="s">
        <v>168</v>
      </c>
      <c r="Q108" s="4" t="s">
        <v>169</v>
      </c>
      <c r="R108" s="4" t="s">
        <v>170</v>
      </c>
      <c r="S108" s="4" t="s">
        <v>171</v>
      </c>
      <c r="T108" s="4" t="s">
        <v>172</v>
      </c>
      <c r="U108" s="4" t="s">
        <v>173</v>
      </c>
      <c r="V108" s="4" t="s">
        <v>174</v>
      </c>
      <c r="W108" s="4" t="s">
        <v>175</v>
      </c>
      <c r="X108" s="4" t="s">
        <v>176</v>
      </c>
      <c r="Y108" s="4" t="s">
        <v>364</v>
      </c>
      <c r="Z108" s="4" t="s">
        <v>177</v>
      </c>
      <c r="AA108" s="4" t="s">
        <v>103</v>
      </c>
      <c r="AB108" s="4" t="s">
        <v>104</v>
      </c>
    </row>
    <row r="109" ht="15.75" customHeight="1">
      <c r="A109" s="4" t="s">
        <v>385</v>
      </c>
      <c r="B109" s="4" t="s">
        <v>386</v>
      </c>
      <c r="C109" s="4" t="str">
        <f>IFERROR(__xludf.DUMMYFUNCTION("GOOGLETRANSLATE(B109, ""RO"", ""EN"")"),"Traian Basescu always does what he promises")</f>
        <v>Traian Basescu always does what he promises</v>
      </c>
      <c r="D109" s="5" t="str">
        <f>IFERROR(__xludf.DUMMYFUNCTION("IF(O109&lt;&gt;"""", GOOGLETRANSLATE(O109, ""RO"", ""EN""), """")"),"Not at all")</f>
        <v>Not at all</v>
      </c>
      <c r="E109" s="6" t="str">
        <f>IFERROR(__xludf.DUMMYFUNCTION("IF(P109&lt;&gt;"""", GOOGLETRANSLATE(P109, ""RO"", ""EN""), """")"),"1")</f>
        <v>1</v>
      </c>
      <c r="F109" s="5" t="str">
        <f>IFERROR(__xludf.DUMMYFUNCTION("IF(Q109&lt;&gt;"""", GOOGLETRANSLATE(Q109, ""RO"", ""EN""), """")"),"2")</f>
        <v>2</v>
      </c>
      <c r="G109" s="5" t="str">
        <f>IFERROR(__xludf.DUMMYFUNCTION("IF(R109&lt;&gt;"""", GOOGLETRANSLATE(R109, ""RO"", ""EN""), """")"),"3")</f>
        <v>3</v>
      </c>
      <c r="H109" s="5" t="str">
        <f>IFERROR(__xludf.DUMMYFUNCTION("IF(U109&lt;&gt;"""", GOOGLETRANSLATE(U109, ""RO"", ""EN""), """")"),"4")</f>
        <v>4</v>
      </c>
      <c r="I109" s="5" t="str">
        <f>IFERROR(__xludf.DUMMYFUNCTION("IF(V109&lt;&gt;"""", GOOGLETRANSLATE(V109, ""RO"", ""EN""), """")"),"5")</f>
        <v>5</v>
      </c>
      <c r="J109" s="5" t="str">
        <f>IFERROR(__xludf.DUMMYFUNCTION("IF(W109&lt;&gt;"""", GOOGLETRANSLATE(W109, ""RO"", ""EN""), """")"),"6")</f>
        <v>6</v>
      </c>
      <c r="K109" s="5" t="str">
        <f>IFERROR(__xludf.DUMMYFUNCTION("IF(X109&lt;&gt;"""", GOOGLETRANSLATE(X109, ""RO"", ""EN""), """")"),"7")</f>
        <v>7</v>
      </c>
      <c r="L109" s="5" t="str">
        <f>IFERROR(__xludf.DUMMYFUNCTION("IF(S109&lt;&gt;"""", GOOGLETRANSLATE(S109, ""RO"", ""EN""), """")"),"8")</f>
        <v>8</v>
      </c>
      <c r="M109" s="5" t="str">
        <f>IFERROR(__xludf.DUMMYFUNCTION("IF(T109&lt;&gt;"""", GOOGLETRANSLATE(T109, ""RO"", ""EN""), """")"),"9")</f>
        <v>9</v>
      </c>
      <c r="N109" s="5" t="str">
        <f>IFERROR(__xludf.DUMMYFUNCTION("IF(Y109&lt;&gt;"""", GOOGLETRANSLATE(Y109, ""RO"", ""EN""), """")"),"Fully")</f>
        <v>Fully</v>
      </c>
      <c r="O109" s="4" t="s">
        <v>363</v>
      </c>
      <c r="P109" s="4" t="s">
        <v>168</v>
      </c>
      <c r="Q109" s="4" t="s">
        <v>169</v>
      </c>
      <c r="R109" s="4" t="s">
        <v>170</v>
      </c>
      <c r="S109" s="4" t="s">
        <v>171</v>
      </c>
      <c r="T109" s="4" t="s">
        <v>172</v>
      </c>
      <c r="U109" s="4" t="s">
        <v>173</v>
      </c>
      <c r="V109" s="4" t="s">
        <v>174</v>
      </c>
      <c r="W109" s="4" t="s">
        <v>175</v>
      </c>
      <c r="X109" s="4" t="s">
        <v>176</v>
      </c>
      <c r="Y109" s="4" t="s">
        <v>364</v>
      </c>
      <c r="Z109" s="4" t="s">
        <v>177</v>
      </c>
      <c r="AA109" s="4" t="s">
        <v>103</v>
      </c>
      <c r="AB109" s="4" t="s">
        <v>104</v>
      </c>
    </row>
    <row r="110" ht="15.75" customHeight="1">
      <c r="A110" s="4" t="s">
        <v>387</v>
      </c>
      <c r="B110" s="4" t="s">
        <v>388</v>
      </c>
      <c r="C110" s="4" t="str">
        <f>IFERROR(__xludf.DUMMYFUNCTION("GOOGLETRANSLATE(B110, ""RO"", ""EN"")"),"Mircea Geoana is competent")</f>
        <v>Mircea Geoana is competent</v>
      </c>
      <c r="D110" s="5" t="str">
        <f>IFERROR(__xludf.DUMMYFUNCTION("IF(O110&lt;&gt;"""", GOOGLETRANSLATE(O110, ""RO"", ""EN""), """")"),"Not at all")</f>
        <v>Not at all</v>
      </c>
      <c r="E110" s="6" t="str">
        <f>IFERROR(__xludf.DUMMYFUNCTION("IF(P110&lt;&gt;"""", GOOGLETRANSLATE(P110, ""RO"", ""EN""), """")"),"1")</f>
        <v>1</v>
      </c>
      <c r="F110" s="5" t="str">
        <f>IFERROR(__xludf.DUMMYFUNCTION("IF(Q110&lt;&gt;"""", GOOGLETRANSLATE(Q110, ""RO"", ""EN""), """")"),"2")</f>
        <v>2</v>
      </c>
      <c r="G110" s="5" t="str">
        <f>IFERROR(__xludf.DUMMYFUNCTION("IF(R110&lt;&gt;"""", GOOGLETRANSLATE(R110, ""RO"", ""EN""), """")"),"3")</f>
        <v>3</v>
      </c>
      <c r="H110" s="5" t="str">
        <f>IFERROR(__xludf.DUMMYFUNCTION("IF(U110&lt;&gt;"""", GOOGLETRANSLATE(U110, ""RO"", ""EN""), """")"),"4")</f>
        <v>4</v>
      </c>
      <c r="I110" s="5" t="str">
        <f>IFERROR(__xludf.DUMMYFUNCTION("IF(V110&lt;&gt;"""", GOOGLETRANSLATE(V110, ""RO"", ""EN""), """")"),"5")</f>
        <v>5</v>
      </c>
      <c r="J110" s="5" t="str">
        <f>IFERROR(__xludf.DUMMYFUNCTION("IF(W110&lt;&gt;"""", GOOGLETRANSLATE(W110, ""RO"", ""EN""), """")"),"6")</f>
        <v>6</v>
      </c>
      <c r="K110" s="5" t="str">
        <f>IFERROR(__xludf.DUMMYFUNCTION("IF(X110&lt;&gt;"""", GOOGLETRANSLATE(X110, ""RO"", ""EN""), """")"),"7")</f>
        <v>7</v>
      </c>
      <c r="L110" s="5" t="str">
        <f>IFERROR(__xludf.DUMMYFUNCTION("IF(S110&lt;&gt;"""", GOOGLETRANSLATE(S110, ""RO"", ""EN""), """")"),"8")</f>
        <v>8</v>
      </c>
      <c r="M110" s="5" t="str">
        <f>IFERROR(__xludf.DUMMYFUNCTION("IF(T110&lt;&gt;"""", GOOGLETRANSLATE(T110, ""RO"", ""EN""), """")"),"9")</f>
        <v>9</v>
      </c>
      <c r="N110" s="5" t="str">
        <f>IFERROR(__xludf.DUMMYFUNCTION("IF(Y110&lt;&gt;"""", GOOGLETRANSLATE(Y110, ""RO"", ""EN""), """")"),"Fully")</f>
        <v>Fully</v>
      </c>
      <c r="O110" s="4" t="s">
        <v>363</v>
      </c>
      <c r="P110" s="4" t="s">
        <v>168</v>
      </c>
      <c r="Q110" s="4" t="s">
        <v>169</v>
      </c>
      <c r="R110" s="4" t="s">
        <v>170</v>
      </c>
      <c r="S110" s="4" t="s">
        <v>171</v>
      </c>
      <c r="T110" s="4" t="s">
        <v>172</v>
      </c>
      <c r="U110" s="4" t="s">
        <v>173</v>
      </c>
      <c r="V110" s="4" t="s">
        <v>174</v>
      </c>
      <c r="W110" s="4" t="s">
        <v>175</v>
      </c>
      <c r="X110" s="4" t="s">
        <v>176</v>
      </c>
      <c r="Y110" s="4" t="s">
        <v>364</v>
      </c>
      <c r="Z110" s="4" t="s">
        <v>177</v>
      </c>
      <c r="AA110" s="4" t="s">
        <v>103</v>
      </c>
      <c r="AB110" s="4" t="s">
        <v>104</v>
      </c>
    </row>
    <row r="111" ht="15.75" customHeight="1">
      <c r="A111" s="4" t="s">
        <v>389</v>
      </c>
      <c r="B111" s="4" t="s">
        <v>390</v>
      </c>
      <c r="C111" s="4" t="str">
        <f>IFERROR(__xludf.DUMMYFUNCTION("GOOGLETRANSLATE(B111, ""RO"", ""EN"")"),"Crin Antonescu is competent")</f>
        <v>Crin Antonescu is competent</v>
      </c>
      <c r="D111" s="5" t="str">
        <f>IFERROR(__xludf.DUMMYFUNCTION("IF(O111&lt;&gt;"""", GOOGLETRANSLATE(O111, ""RO"", ""EN""), """")"),"Not at all")</f>
        <v>Not at all</v>
      </c>
      <c r="E111" s="6" t="str">
        <f>IFERROR(__xludf.DUMMYFUNCTION("IF(P111&lt;&gt;"""", GOOGLETRANSLATE(P111, ""RO"", ""EN""), """")"),"1")</f>
        <v>1</v>
      </c>
      <c r="F111" s="5" t="str">
        <f>IFERROR(__xludf.DUMMYFUNCTION("IF(Q111&lt;&gt;"""", GOOGLETRANSLATE(Q111, ""RO"", ""EN""), """")"),"2")</f>
        <v>2</v>
      </c>
      <c r="G111" s="5" t="str">
        <f>IFERROR(__xludf.DUMMYFUNCTION("IF(R111&lt;&gt;"""", GOOGLETRANSLATE(R111, ""RO"", ""EN""), """")"),"3")</f>
        <v>3</v>
      </c>
      <c r="H111" s="5" t="str">
        <f>IFERROR(__xludf.DUMMYFUNCTION("IF(U111&lt;&gt;"""", GOOGLETRANSLATE(U111, ""RO"", ""EN""), """")"),"4")</f>
        <v>4</v>
      </c>
      <c r="I111" s="5" t="str">
        <f>IFERROR(__xludf.DUMMYFUNCTION("IF(V111&lt;&gt;"""", GOOGLETRANSLATE(V111, ""RO"", ""EN""), """")"),"5")</f>
        <v>5</v>
      </c>
      <c r="J111" s="5" t="str">
        <f>IFERROR(__xludf.DUMMYFUNCTION("IF(W111&lt;&gt;"""", GOOGLETRANSLATE(W111, ""RO"", ""EN""), """")"),"6")</f>
        <v>6</v>
      </c>
      <c r="K111" s="5" t="str">
        <f>IFERROR(__xludf.DUMMYFUNCTION("IF(X111&lt;&gt;"""", GOOGLETRANSLATE(X111, ""RO"", ""EN""), """")"),"7")</f>
        <v>7</v>
      </c>
      <c r="L111" s="5" t="str">
        <f>IFERROR(__xludf.DUMMYFUNCTION("IF(S111&lt;&gt;"""", GOOGLETRANSLATE(S111, ""RO"", ""EN""), """")"),"8")</f>
        <v>8</v>
      </c>
      <c r="M111" s="5" t="str">
        <f>IFERROR(__xludf.DUMMYFUNCTION("IF(T111&lt;&gt;"""", GOOGLETRANSLATE(T111, ""RO"", ""EN""), """")"),"9")</f>
        <v>9</v>
      </c>
      <c r="N111" s="5" t="str">
        <f>IFERROR(__xludf.DUMMYFUNCTION("IF(Y111&lt;&gt;"""", GOOGLETRANSLATE(Y111, ""RO"", ""EN""), """")"),"Fully")</f>
        <v>Fully</v>
      </c>
      <c r="O111" s="4" t="s">
        <v>363</v>
      </c>
      <c r="P111" s="4" t="s">
        <v>168</v>
      </c>
      <c r="Q111" s="4" t="s">
        <v>169</v>
      </c>
      <c r="R111" s="4" t="s">
        <v>170</v>
      </c>
      <c r="S111" s="4" t="s">
        <v>171</v>
      </c>
      <c r="T111" s="4" t="s">
        <v>172</v>
      </c>
      <c r="U111" s="4" t="s">
        <v>173</v>
      </c>
      <c r="V111" s="4" t="s">
        <v>174</v>
      </c>
      <c r="W111" s="4" t="s">
        <v>175</v>
      </c>
      <c r="X111" s="4" t="s">
        <v>176</v>
      </c>
      <c r="Y111" s="4" t="s">
        <v>364</v>
      </c>
      <c r="Z111" s="4" t="s">
        <v>177</v>
      </c>
      <c r="AA111" s="4" t="s">
        <v>103</v>
      </c>
      <c r="AB111" s="4" t="s">
        <v>104</v>
      </c>
    </row>
    <row r="112" ht="15.75" customHeight="1">
      <c r="A112" s="4" t="s">
        <v>391</v>
      </c>
      <c r="B112" s="4" t="s">
        <v>392</v>
      </c>
      <c r="C112" s="4" t="str">
        <f>IFERROR(__xludf.DUMMYFUNCTION("GOOGLETRANSLATE(B112, ""RO"", ""EN"")"),"Traian Basescu is competent")</f>
        <v>Traian Basescu is competent</v>
      </c>
      <c r="D112" s="5" t="str">
        <f>IFERROR(__xludf.DUMMYFUNCTION("IF(O112&lt;&gt;"""", GOOGLETRANSLATE(O112, ""RO"", ""EN""), """")"),"Not at all")</f>
        <v>Not at all</v>
      </c>
      <c r="E112" s="6" t="str">
        <f>IFERROR(__xludf.DUMMYFUNCTION("IF(P112&lt;&gt;"""", GOOGLETRANSLATE(P112, ""RO"", ""EN""), """")"),"1")</f>
        <v>1</v>
      </c>
      <c r="F112" s="5" t="str">
        <f>IFERROR(__xludf.DUMMYFUNCTION("IF(Q112&lt;&gt;"""", GOOGLETRANSLATE(Q112, ""RO"", ""EN""), """")"),"2")</f>
        <v>2</v>
      </c>
      <c r="G112" s="5" t="str">
        <f>IFERROR(__xludf.DUMMYFUNCTION("IF(R112&lt;&gt;"""", GOOGLETRANSLATE(R112, ""RO"", ""EN""), """")"),"3")</f>
        <v>3</v>
      </c>
      <c r="H112" s="5" t="str">
        <f>IFERROR(__xludf.DUMMYFUNCTION("IF(U112&lt;&gt;"""", GOOGLETRANSLATE(U112, ""RO"", ""EN""), """")"),"4")</f>
        <v>4</v>
      </c>
      <c r="I112" s="5" t="str">
        <f>IFERROR(__xludf.DUMMYFUNCTION("IF(V112&lt;&gt;"""", GOOGLETRANSLATE(V112, ""RO"", ""EN""), """")"),"5")</f>
        <v>5</v>
      </c>
      <c r="J112" s="5" t="str">
        <f>IFERROR(__xludf.DUMMYFUNCTION("IF(W112&lt;&gt;"""", GOOGLETRANSLATE(W112, ""RO"", ""EN""), """")"),"6")</f>
        <v>6</v>
      </c>
      <c r="K112" s="5" t="str">
        <f>IFERROR(__xludf.DUMMYFUNCTION("IF(X112&lt;&gt;"""", GOOGLETRANSLATE(X112, ""RO"", ""EN""), """")"),"7")</f>
        <v>7</v>
      </c>
      <c r="L112" s="5" t="str">
        <f>IFERROR(__xludf.DUMMYFUNCTION("IF(S112&lt;&gt;"""", GOOGLETRANSLATE(S112, ""RO"", ""EN""), """")"),"8")</f>
        <v>8</v>
      </c>
      <c r="M112" s="5" t="str">
        <f>IFERROR(__xludf.DUMMYFUNCTION("IF(T112&lt;&gt;"""", GOOGLETRANSLATE(T112, ""RO"", ""EN""), """")"),"9")</f>
        <v>9</v>
      </c>
      <c r="N112" s="5" t="str">
        <f>IFERROR(__xludf.DUMMYFUNCTION("IF(Y112&lt;&gt;"""", GOOGLETRANSLATE(Y112, ""RO"", ""EN""), """")"),"Fully")</f>
        <v>Fully</v>
      </c>
      <c r="O112" s="4" t="s">
        <v>363</v>
      </c>
      <c r="P112" s="4" t="s">
        <v>168</v>
      </c>
      <c r="Q112" s="4" t="s">
        <v>169</v>
      </c>
      <c r="R112" s="4" t="s">
        <v>170</v>
      </c>
      <c r="S112" s="4" t="s">
        <v>171</v>
      </c>
      <c r="T112" s="4" t="s">
        <v>172</v>
      </c>
      <c r="U112" s="4" t="s">
        <v>173</v>
      </c>
      <c r="V112" s="4" t="s">
        <v>174</v>
      </c>
      <c r="W112" s="4" t="s">
        <v>175</v>
      </c>
      <c r="X112" s="4" t="s">
        <v>176</v>
      </c>
      <c r="Y112" s="4" t="s">
        <v>364</v>
      </c>
      <c r="Z112" s="4" t="s">
        <v>177</v>
      </c>
      <c r="AA112" s="4" t="s">
        <v>103</v>
      </c>
      <c r="AB112" s="4" t="s">
        <v>104</v>
      </c>
    </row>
    <row r="113" ht="15.75" customHeight="1">
      <c r="A113" s="4" t="s">
        <v>393</v>
      </c>
      <c r="B113" s="4" t="s">
        <v>394</v>
      </c>
      <c r="C113" s="4" t="str">
        <f>IFERROR(__xludf.DUMMYFUNCTION("GOOGLETRANSLATE(B113, ""RO"", ""EN"")"),"Mircea Geoana is determined and firm in everything that does")</f>
        <v>Mircea Geoana is determined and firm in everything that does</v>
      </c>
      <c r="D113" s="5" t="str">
        <f>IFERROR(__xludf.DUMMYFUNCTION("IF(O113&lt;&gt;"""", GOOGLETRANSLATE(O113, ""RO"", ""EN""), """")"),"Not at all")</f>
        <v>Not at all</v>
      </c>
      <c r="E113" s="6" t="str">
        <f>IFERROR(__xludf.DUMMYFUNCTION("IF(P113&lt;&gt;"""", GOOGLETRANSLATE(P113, ""RO"", ""EN""), """")"),"1")</f>
        <v>1</v>
      </c>
      <c r="F113" s="5" t="str">
        <f>IFERROR(__xludf.DUMMYFUNCTION("IF(Q113&lt;&gt;"""", GOOGLETRANSLATE(Q113, ""RO"", ""EN""), """")"),"2")</f>
        <v>2</v>
      </c>
      <c r="G113" s="5" t="str">
        <f>IFERROR(__xludf.DUMMYFUNCTION("IF(R113&lt;&gt;"""", GOOGLETRANSLATE(R113, ""RO"", ""EN""), """")"),"3")</f>
        <v>3</v>
      </c>
      <c r="H113" s="5" t="str">
        <f>IFERROR(__xludf.DUMMYFUNCTION("IF(U113&lt;&gt;"""", GOOGLETRANSLATE(U113, ""RO"", ""EN""), """")"),"4")</f>
        <v>4</v>
      </c>
      <c r="I113" s="5" t="str">
        <f>IFERROR(__xludf.DUMMYFUNCTION("IF(V113&lt;&gt;"""", GOOGLETRANSLATE(V113, ""RO"", ""EN""), """")"),"5")</f>
        <v>5</v>
      </c>
      <c r="J113" s="5" t="str">
        <f>IFERROR(__xludf.DUMMYFUNCTION("IF(W113&lt;&gt;"""", GOOGLETRANSLATE(W113, ""RO"", ""EN""), """")"),"6")</f>
        <v>6</v>
      </c>
      <c r="K113" s="5" t="str">
        <f>IFERROR(__xludf.DUMMYFUNCTION("IF(X113&lt;&gt;"""", GOOGLETRANSLATE(X113, ""RO"", ""EN""), """")"),"7")</f>
        <v>7</v>
      </c>
      <c r="L113" s="5" t="str">
        <f>IFERROR(__xludf.DUMMYFUNCTION("IF(S113&lt;&gt;"""", GOOGLETRANSLATE(S113, ""RO"", ""EN""), """")"),"8")</f>
        <v>8</v>
      </c>
      <c r="M113" s="5" t="str">
        <f>IFERROR(__xludf.DUMMYFUNCTION("IF(T113&lt;&gt;"""", GOOGLETRANSLATE(T113, ""RO"", ""EN""), """")"),"9")</f>
        <v>9</v>
      </c>
      <c r="N113" s="5" t="str">
        <f>IFERROR(__xludf.DUMMYFUNCTION("IF(Y113&lt;&gt;"""", GOOGLETRANSLATE(Y113, ""RO"", ""EN""), """")"),"Fully")</f>
        <v>Fully</v>
      </c>
      <c r="O113" s="4" t="s">
        <v>363</v>
      </c>
      <c r="P113" s="4" t="s">
        <v>168</v>
      </c>
      <c r="Q113" s="4" t="s">
        <v>169</v>
      </c>
      <c r="R113" s="4" t="s">
        <v>170</v>
      </c>
      <c r="S113" s="4" t="s">
        <v>171</v>
      </c>
      <c r="T113" s="4" t="s">
        <v>172</v>
      </c>
      <c r="U113" s="4" t="s">
        <v>173</v>
      </c>
      <c r="V113" s="4" t="s">
        <v>174</v>
      </c>
      <c r="W113" s="4" t="s">
        <v>175</v>
      </c>
      <c r="X113" s="4" t="s">
        <v>176</v>
      </c>
      <c r="Y113" s="4" t="s">
        <v>364</v>
      </c>
      <c r="Z113" s="4" t="s">
        <v>177</v>
      </c>
      <c r="AA113" s="4" t="s">
        <v>103</v>
      </c>
      <c r="AB113" s="4" t="s">
        <v>104</v>
      </c>
    </row>
    <row r="114" ht="15.75" customHeight="1">
      <c r="A114" s="4" t="s">
        <v>395</v>
      </c>
      <c r="B114" s="4" t="s">
        <v>396</v>
      </c>
      <c r="C114" s="4" t="str">
        <f>IFERROR(__xludf.DUMMYFUNCTION("GOOGLETRANSLATE(B114, ""RO"", ""EN"")"),"Crin Antonescu is determined and firmly in everything he does")</f>
        <v>Crin Antonescu is determined and firmly in everything he does</v>
      </c>
      <c r="D114" s="5" t="str">
        <f>IFERROR(__xludf.DUMMYFUNCTION("IF(O114&lt;&gt;"""", GOOGLETRANSLATE(O114, ""RO"", ""EN""), """")"),"Not at all")</f>
        <v>Not at all</v>
      </c>
      <c r="E114" s="6" t="str">
        <f>IFERROR(__xludf.DUMMYFUNCTION("IF(P114&lt;&gt;"""", GOOGLETRANSLATE(P114, ""RO"", ""EN""), """")"),"1")</f>
        <v>1</v>
      </c>
      <c r="F114" s="5" t="str">
        <f>IFERROR(__xludf.DUMMYFUNCTION("IF(Q114&lt;&gt;"""", GOOGLETRANSLATE(Q114, ""RO"", ""EN""), """")"),"2")</f>
        <v>2</v>
      </c>
      <c r="G114" s="5" t="str">
        <f>IFERROR(__xludf.DUMMYFUNCTION("IF(R114&lt;&gt;"""", GOOGLETRANSLATE(R114, ""RO"", ""EN""), """")"),"3")</f>
        <v>3</v>
      </c>
      <c r="H114" s="5" t="str">
        <f>IFERROR(__xludf.DUMMYFUNCTION("IF(U114&lt;&gt;"""", GOOGLETRANSLATE(U114, ""RO"", ""EN""), """")"),"4")</f>
        <v>4</v>
      </c>
      <c r="I114" s="5" t="str">
        <f>IFERROR(__xludf.DUMMYFUNCTION("IF(V114&lt;&gt;"""", GOOGLETRANSLATE(V114, ""RO"", ""EN""), """")"),"5")</f>
        <v>5</v>
      </c>
      <c r="J114" s="5" t="str">
        <f>IFERROR(__xludf.DUMMYFUNCTION("IF(W114&lt;&gt;"""", GOOGLETRANSLATE(W114, ""RO"", ""EN""), """")"),"6")</f>
        <v>6</v>
      </c>
      <c r="K114" s="5" t="str">
        <f>IFERROR(__xludf.DUMMYFUNCTION("IF(X114&lt;&gt;"""", GOOGLETRANSLATE(X114, ""RO"", ""EN""), """")"),"7")</f>
        <v>7</v>
      </c>
      <c r="L114" s="5" t="str">
        <f>IFERROR(__xludf.DUMMYFUNCTION("IF(S114&lt;&gt;"""", GOOGLETRANSLATE(S114, ""RO"", ""EN""), """")"),"8")</f>
        <v>8</v>
      </c>
      <c r="M114" s="5" t="str">
        <f>IFERROR(__xludf.DUMMYFUNCTION("IF(T114&lt;&gt;"""", GOOGLETRANSLATE(T114, ""RO"", ""EN""), """")"),"9")</f>
        <v>9</v>
      </c>
      <c r="N114" s="5" t="str">
        <f>IFERROR(__xludf.DUMMYFUNCTION("IF(Y114&lt;&gt;"""", GOOGLETRANSLATE(Y114, ""RO"", ""EN""), """")"),"Fully")</f>
        <v>Fully</v>
      </c>
      <c r="O114" s="4" t="s">
        <v>363</v>
      </c>
      <c r="P114" s="4" t="s">
        <v>168</v>
      </c>
      <c r="Q114" s="4" t="s">
        <v>169</v>
      </c>
      <c r="R114" s="4" t="s">
        <v>170</v>
      </c>
      <c r="S114" s="4" t="s">
        <v>171</v>
      </c>
      <c r="T114" s="4" t="s">
        <v>172</v>
      </c>
      <c r="U114" s="4" t="s">
        <v>173</v>
      </c>
      <c r="V114" s="4" t="s">
        <v>174</v>
      </c>
      <c r="W114" s="4" t="s">
        <v>175</v>
      </c>
      <c r="X114" s="4" t="s">
        <v>176</v>
      </c>
      <c r="Y114" s="4" t="s">
        <v>364</v>
      </c>
      <c r="Z114" s="4" t="s">
        <v>177</v>
      </c>
      <c r="AA114" s="4" t="s">
        <v>103</v>
      </c>
      <c r="AB114" s="4" t="s">
        <v>104</v>
      </c>
    </row>
    <row r="115" ht="15.75" customHeight="1">
      <c r="A115" s="4" t="s">
        <v>397</v>
      </c>
      <c r="B115" s="4" t="s">
        <v>398</v>
      </c>
      <c r="C115" s="4" t="str">
        <f>IFERROR(__xludf.DUMMYFUNCTION("GOOGLETRANSLATE(B115, ""RO"", ""EN"")"),"Traian Basescu is determined and firm in everything he does")</f>
        <v>Traian Basescu is determined and firm in everything he does</v>
      </c>
      <c r="D115" s="5" t="str">
        <f>IFERROR(__xludf.DUMMYFUNCTION("IF(O115&lt;&gt;"""", GOOGLETRANSLATE(O115, ""RO"", ""EN""), """")"),"Not at all")</f>
        <v>Not at all</v>
      </c>
      <c r="E115" s="6" t="str">
        <f>IFERROR(__xludf.DUMMYFUNCTION("IF(P115&lt;&gt;"""", GOOGLETRANSLATE(P115, ""RO"", ""EN""), """")"),"1")</f>
        <v>1</v>
      </c>
      <c r="F115" s="5" t="str">
        <f>IFERROR(__xludf.DUMMYFUNCTION("IF(Q115&lt;&gt;"""", GOOGLETRANSLATE(Q115, ""RO"", ""EN""), """")"),"2")</f>
        <v>2</v>
      </c>
      <c r="G115" s="5" t="str">
        <f>IFERROR(__xludf.DUMMYFUNCTION("IF(R115&lt;&gt;"""", GOOGLETRANSLATE(R115, ""RO"", ""EN""), """")"),"3")</f>
        <v>3</v>
      </c>
      <c r="H115" s="5" t="str">
        <f>IFERROR(__xludf.DUMMYFUNCTION("IF(U115&lt;&gt;"""", GOOGLETRANSLATE(U115, ""RO"", ""EN""), """")"),"4")</f>
        <v>4</v>
      </c>
      <c r="I115" s="5" t="str">
        <f>IFERROR(__xludf.DUMMYFUNCTION("IF(V115&lt;&gt;"""", GOOGLETRANSLATE(V115, ""RO"", ""EN""), """")"),"5")</f>
        <v>5</v>
      </c>
      <c r="J115" s="5" t="str">
        <f>IFERROR(__xludf.DUMMYFUNCTION("IF(W115&lt;&gt;"""", GOOGLETRANSLATE(W115, ""RO"", ""EN""), """")"),"6")</f>
        <v>6</v>
      </c>
      <c r="K115" s="5" t="str">
        <f>IFERROR(__xludf.DUMMYFUNCTION("IF(X115&lt;&gt;"""", GOOGLETRANSLATE(X115, ""RO"", ""EN""), """")"),"7")</f>
        <v>7</v>
      </c>
      <c r="L115" s="5" t="str">
        <f>IFERROR(__xludf.DUMMYFUNCTION("IF(S115&lt;&gt;"""", GOOGLETRANSLATE(S115, ""RO"", ""EN""), """")"),"8")</f>
        <v>8</v>
      </c>
      <c r="M115" s="5" t="str">
        <f>IFERROR(__xludf.DUMMYFUNCTION("IF(T115&lt;&gt;"""", GOOGLETRANSLATE(T115, ""RO"", ""EN""), """")"),"9")</f>
        <v>9</v>
      </c>
      <c r="N115" s="5" t="str">
        <f>IFERROR(__xludf.DUMMYFUNCTION("IF(Y115&lt;&gt;"""", GOOGLETRANSLATE(Y115, ""RO"", ""EN""), """")"),"Fully")</f>
        <v>Fully</v>
      </c>
      <c r="O115" s="4" t="s">
        <v>363</v>
      </c>
      <c r="P115" s="4" t="s">
        <v>168</v>
      </c>
      <c r="Q115" s="4" t="s">
        <v>169</v>
      </c>
      <c r="R115" s="4" t="s">
        <v>170</v>
      </c>
      <c r="S115" s="4" t="s">
        <v>171</v>
      </c>
      <c r="T115" s="4" t="s">
        <v>172</v>
      </c>
      <c r="U115" s="4" t="s">
        <v>173</v>
      </c>
      <c r="V115" s="4" t="s">
        <v>174</v>
      </c>
      <c r="W115" s="4" t="s">
        <v>175</v>
      </c>
      <c r="X115" s="4" t="s">
        <v>176</v>
      </c>
      <c r="Y115" s="4" t="s">
        <v>364</v>
      </c>
      <c r="Z115" s="4" t="s">
        <v>177</v>
      </c>
      <c r="AA115" s="4" t="s">
        <v>103</v>
      </c>
      <c r="AB115" s="4" t="s">
        <v>104</v>
      </c>
    </row>
    <row r="116" ht="15.75" customHeight="1">
      <c r="A116" s="4" t="s">
        <v>399</v>
      </c>
      <c r="B116" s="4" t="s">
        <v>400</v>
      </c>
      <c r="C116" s="4" t="str">
        <f>IFERROR(__xludf.DUMMYFUNCTION("GOOGLETRANSLATE(B116, ""RO"", ""EN"")"),"Mircea Geoana will develop good relationships with other countries")</f>
        <v>Mircea Geoana will develop good relationships with other countries</v>
      </c>
      <c r="D116" s="5" t="str">
        <f>IFERROR(__xludf.DUMMYFUNCTION("IF(O116&lt;&gt;"""", GOOGLETRANSLATE(O116, ""RO"", ""EN""), """")"),"Not at all")</f>
        <v>Not at all</v>
      </c>
      <c r="E116" s="6" t="str">
        <f>IFERROR(__xludf.DUMMYFUNCTION("IF(P116&lt;&gt;"""", GOOGLETRANSLATE(P116, ""RO"", ""EN""), """")"),"1")</f>
        <v>1</v>
      </c>
      <c r="F116" s="5" t="str">
        <f>IFERROR(__xludf.DUMMYFUNCTION("IF(Q116&lt;&gt;"""", GOOGLETRANSLATE(Q116, ""RO"", ""EN""), """")"),"2")</f>
        <v>2</v>
      </c>
      <c r="G116" s="5" t="str">
        <f>IFERROR(__xludf.DUMMYFUNCTION("IF(R116&lt;&gt;"""", GOOGLETRANSLATE(R116, ""RO"", ""EN""), """")"),"3")</f>
        <v>3</v>
      </c>
      <c r="H116" s="5" t="str">
        <f>IFERROR(__xludf.DUMMYFUNCTION("IF(U116&lt;&gt;"""", GOOGLETRANSLATE(U116, ""RO"", ""EN""), """")"),"4")</f>
        <v>4</v>
      </c>
      <c r="I116" s="5" t="str">
        <f>IFERROR(__xludf.DUMMYFUNCTION("IF(V116&lt;&gt;"""", GOOGLETRANSLATE(V116, ""RO"", ""EN""), """")"),"5")</f>
        <v>5</v>
      </c>
      <c r="J116" s="5" t="str">
        <f>IFERROR(__xludf.DUMMYFUNCTION("IF(W116&lt;&gt;"""", GOOGLETRANSLATE(W116, ""RO"", ""EN""), """")"),"6")</f>
        <v>6</v>
      </c>
      <c r="K116" s="5" t="str">
        <f>IFERROR(__xludf.DUMMYFUNCTION("IF(X116&lt;&gt;"""", GOOGLETRANSLATE(X116, ""RO"", ""EN""), """")"),"7")</f>
        <v>7</v>
      </c>
      <c r="L116" s="5" t="str">
        <f>IFERROR(__xludf.DUMMYFUNCTION("IF(S116&lt;&gt;"""", GOOGLETRANSLATE(S116, ""RO"", ""EN""), """")"),"8")</f>
        <v>8</v>
      </c>
      <c r="M116" s="5" t="str">
        <f>IFERROR(__xludf.DUMMYFUNCTION("IF(T116&lt;&gt;"""", GOOGLETRANSLATE(T116, ""RO"", ""EN""), """")"),"9")</f>
        <v>9</v>
      </c>
      <c r="N116" s="5" t="str">
        <f>IFERROR(__xludf.DUMMYFUNCTION("IF(Y116&lt;&gt;"""", GOOGLETRANSLATE(Y116, ""RO"", ""EN""), """")"),"Fully")</f>
        <v>Fully</v>
      </c>
      <c r="O116" s="4" t="s">
        <v>363</v>
      </c>
      <c r="P116" s="4" t="s">
        <v>168</v>
      </c>
      <c r="Q116" s="4" t="s">
        <v>169</v>
      </c>
      <c r="R116" s="4" t="s">
        <v>170</v>
      </c>
      <c r="S116" s="4" t="s">
        <v>171</v>
      </c>
      <c r="T116" s="4" t="s">
        <v>172</v>
      </c>
      <c r="U116" s="4" t="s">
        <v>173</v>
      </c>
      <c r="V116" s="4" t="s">
        <v>174</v>
      </c>
      <c r="W116" s="4" t="s">
        <v>175</v>
      </c>
      <c r="X116" s="4" t="s">
        <v>176</v>
      </c>
      <c r="Y116" s="4" t="s">
        <v>364</v>
      </c>
      <c r="Z116" s="4" t="s">
        <v>177</v>
      </c>
      <c r="AA116" s="4" t="s">
        <v>103</v>
      </c>
      <c r="AB116" s="4" t="s">
        <v>104</v>
      </c>
    </row>
    <row r="117" ht="15.75" customHeight="1">
      <c r="A117" s="4" t="s">
        <v>401</v>
      </c>
      <c r="B117" s="4" t="s">
        <v>402</v>
      </c>
      <c r="C117" s="4" t="str">
        <f>IFERROR(__xludf.DUMMYFUNCTION("GOOGLETRANSLATE(B117, ""RO"", ""EN"")"),"Crin Antonescu will develop good relationships with other countries")</f>
        <v>Crin Antonescu will develop good relationships with other countries</v>
      </c>
      <c r="D117" s="5" t="str">
        <f>IFERROR(__xludf.DUMMYFUNCTION("IF(O117&lt;&gt;"""", GOOGLETRANSLATE(O117, ""RO"", ""EN""), """")"),"Not at all")</f>
        <v>Not at all</v>
      </c>
      <c r="E117" s="6" t="str">
        <f>IFERROR(__xludf.DUMMYFUNCTION("IF(P117&lt;&gt;"""", GOOGLETRANSLATE(P117, ""RO"", ""EN""), """")"),"1")</f>
        <v>1</v>
      </c>
      <c r="F117" s="5" t="str">
        <f>IFERROR(__xludf.DUMMYFUNCTION("IF(Q117&lt;&gt;"""", GOOGLETRANSLATE(Q117, ""RO"", ""EN""), """")"),"2")</f>
        <v>2</v>
      </c>
      <c r="G117" s="5" t="str">
        <f>IFERROR(__xludf.DUMMYFUNCTION("IF(R117&lt;&gt;"""", GOOGLETRANSLATE(R117, ""RO"", ""EN""), """")"),"3")</f>
        <v>3</v>
      </c>
      <c r="H117" s="5" t="str">
        <f>IFERROR(__xludf.DUMMYFUNCTION("IF(U117&lt;&gt;"""", GOOGLETRANSLATE(U117, ""RO"", ""EN""), """")"),"4")</f>
        <v>4</v>
      </c>
      <c r="I117" s="5" t="str">
        <f>IFERROR(__xludf.DUMMYFUNCTION("IF(V117&lt;&gt;"""", GOOGLETRANSLATE(V117, ""RO"", ""EN""), """")"),"5")</f>
        <v>5</v>
      </c>
      <c r="J117" s="5" t="str">
        <f>IFERROR(__xludf.DUMMYFUNCTION("IF(W117&lt;&gt;"""", GOOGLETRANSLATE(W117, ""RO"", ""EN""), """")"),"6")</f>
        <v>6</v>
      </c>
      <c r="K117" s="5" t="str">
        <f>IFERROR(__xludf.DUMMYFUNCTION("IF(X117&lt;&gt;"""", GOOGLETRANSLATE(X117, ""RO"", ""EN""), """")"),"7")</f>
        <v>7</v>
      </c>
      <c r="L117" s="5" t="str">
        <f>IFERROR(__xludf.DUMMYFUNCTION("IF(S117&lt;&gt;"""", GOOGLETRANSLATE(S117, ""RO"", ""EN""), """")"),"8")</f>
        <v>8</v>
      </c>
      <c r="M117" s="5" t="str">
        <f>IFERROR(__xludf.DUMMYFUNCTION("IF(T117&lt;&gt;"""", GOOGLETRANSLATE(T117, ""RO"", ""EN""), """")"),"9")</f>
        <v>9</v>
      </c>
      <c r="N117" s="5" t="str">
        <f>IFERROR(__xludf.DUMMYFUNCTION("IF(Y117&lt;&gt;"""", GOOGLETRANSLATE(Y117, ""RO"", ""EN""), """")"),"Fully")</f>
        <v>Fully</v>
      </c>
      <c r="O117" s="4" t="s">
        <v>363</v>
      </c>
      <c r="P117" s="4" t="s">
        <v>168</v>
      </c>
      <c r="Q117" s="4" t="s">
        <v>169</v>
      </c>
      <c r="R117" s="4" t="s">
        <v>170</v>
      </c>
      <c r="S117" s="4" t="s">
        <v>171</v>
      </c>
      <c r="T117" s="4" t="s">
        <v>172</v>
      </c>
      <c r="U117" s="4" t="s">
        <v>173</v>
      </c>
      <c r="V117" s="4" t="s">
        <v>174</v>
      </c>
      <c r="W117" s="4" t="s">
        <v>175</v>
      </c>
      <c r="X117" s="4" t="s">
        <v>176</v>
      </c>
      <c r="Y117" s="4" t="s">
        <v>364</v>
      </c>
      <c r="Z117" s="4" t="s">
        <v>177</v>
      </c>
      <c r="AA117" s="4" t="s">
        <v>103</v>
      </c>
      <c r="AB117" s="4" t="s">
        <v>104</v>
      </c>
    </row>
    <row r="118" ht="15.75" customHeight="1">
      <c r="A118" s="4" t="s">
        <v>403</v>
      </c>
      <c r="B118" s="4" t="s">
        <v>404</v>
      </c>
      <c r="C118" s="4" t="str">
        <f>IFERROR(__xludf.DUMMYFUNCTION("GOOGLETRANSLATE(B118, ""RO"", ""EN"")"),"Traian Basescu will develop good relationships with other countries")</f>
        <v>Traian Basescu will develop good relationships with other countries</v>
      </c>
      <c r="D118" s="5" t="str">
        <f>IFERROR(__xludf.DUMMYFUNCTION("IF(O118&lt;&gt;"""", GOOGLETRANSLATE(O118, ""RO"", ""EN""), """")"),"Not at all")</f>
        <v>Not at all</v>
      </c>
      <c r="E118" s="6" t="str">
        <f>IFERROR(__xludf.DUMMYFUNCTION("IF(P118&lt;&gt;"""", GOOGLETRANSLATE(P118, ""RO"", ""EN""), """")"),"1")</f>
        <v>1</v>
      </c>
      <c r="F118" s="5" t="str">
        <f>IFERROR(__xludf.DUMMYFUNCTION("IF(Q118&lt;&gt;"""", GOOGLETRANSLATE(Q118, ""RO"", ""EN""), """")"),"2")</f>
        <v>2</v>
      </c>
      <c r="G118" s="5" t="str">
        <f>IFERROR(__xludf.DUMMYFUNCTION("IF(R118&lt;&gt;"""", GOOGLETRANSLATE(R118, ""RO"", ""EN""), """")"),"3")</f>
        <v>3</v>
      </c>
      <c r="H118" s="5" t="str">
        <f>IFERROR(__xludf.DUMMYFUNCTION("IF(U118&lt;&gt;"""", GOOGLETRANSLATE(U118, ""RO"", ""EN""), """")"),"4")</f>
        <v>4</v>
      </c>
      <c r="I118" s="5" t="str">
        <f>IFERROR(__xludf.DUMMYFUNCTION("IF(V118&lt;&gt;"""", GOOGLETRANSLATE(V118, ""RO"", ""EN""), """")"),"5")</f>
        <v>5</v>
      </c>
      <c r="J118" s="5" t="str">
        <f>IFERROR(__xludf.DUMMYFUNCTION("IF(W118&lt;&gt;"""", GOOGLETRANSLATE(W118, ""RO"", ""EN""), """")"),"6")</f>
        <v>6</v>
      </c>
      <c r="K118" s="5" t="str">
        <f>IFERROR(__xludf.DUMMYFUNCTION("IF(X118&lt;&gt;"""", GOOGLETRANSLATE(X118, ""RO"", ""EN""), """")"),"7")</f>
        <v>7</v>
      </c>
      <c r="L118" s="5" t="str">
        <f>IFERROR(__xludf.DUMMYFUNCTION("IF(S118&lt;&gt;"""", GOOGLETRANSLATE(S118, ""RO"", ""EN""), """")"),"8")</f>
        <v>8</v>
      </c>
      <c r="M118" s="5" t="str">
        <f>IFERROR(__xludf.DUMMYFUNCTION("IF(T118&lt;&gt;"""", GOOGLETRANSLATE(T118, ""RO"", ""EN""), """")"),"9")</f>
        <v>9</v>
      </c>
      <c r="N118" s="5" t="str">
        <f>IFERROR(__xludf.DUMMYFUNCTION("IF(Y118&lt;&gt;"""", GOOGLETRANSLATE(Y118, ""RO"", ""EN""), """")"),"Fully")</f>
        <v>Fully</v>
      </c>
      <c r="O118" s="4" t="s">
        <v>363</v>
      </c>
      <c r="P118" s="4" t="s">
        <v>168</v>
      </c>
      <c r="Q118" s="4" t="s">
        <v>169</v>
      </c>
      <c r="R118" s="4" t="s">
        <v>170</v>
      </c>
      <c r="S118" s="4" t="s">
        <v>171</v>
      </c>
      <c r="T118" s="4" t="s">
        <v>172</v>
      </c>
      <c r="U118" s="4" t="s">
        <v>173</v>
      </c>
      <c r="V118" s="4" t="s">
        <v>174</v>
      </c>
      <c r="W118" s="4" t="s">
        <v>175</v>
      </c>
      <c r="X118" s="4" t="s">
        <v>176</v>
      </c>
      <c r="Y118" s="4" t="s">
        <v>364</v>
      </c>
      <c r="Z118" s="4" t="s">
        <v>177</v>
      </c>
      <c r="AA118" s="4" t="s">
        <v>103</v>
      </c>
      <c r="AB118" s="4" t="s">
        <v>104</v>
      </c>
    </row>
    <row r="119" ht="15.75" customHeight="1">
      <c r="A119" s="4" t="s">
        <v>405</v>
      </c>
      <c r="B119" s="4" t="s">
        <v>406</v>
      </c>
      <c r="C119" s="4" t="str">
        <f>IFERROR(__xludf.DUMMYFUNCTION("GOOGLETRANSLATE(B119, ""RO"", ""EN"")"),"Mircea Geoana knows how to lead the people they work with")</f>
        <v>Mircea Geoana knows how to lead the people they work with</v>
      </c>
      <c r="D119" s="5" t="str">
        <f>IFERROR(__xludf.DUMMYFUNCTION("IF(O119&lt;&gt;"""", GOOGLETRANSLATE(O119, ""RO"", ""EN""), """")"),"Not at all")</f>
        <v>Not at all</v>
      </c>
      <c r="E119" s="6" t="str">
        <f>IFERROR(__xludf.DUMMYFUNCTION("IF(P119&lt;&gt;"""", GOOGLETRANSLATE(P119, ""RO"", ""EN""), """")"),"1")</f>
        <v>1</v>
      </c>
      <c r="F119" s="5" t="str">
        <f>IFERROR(__xludf.DUMMYFUNCTION("IF(Q119&lt;&gt;"""", GOOGLETRANSLATE(Q119, ""RO"", ""EN""), """")"),"2")</f>
        <v>2</v>
      </c>
      <c r="G119" s="5" t="str">
        <f>IFERROR(__xludf.DUMMYFUNCTION("IF(R119&lt;&gt;"""", GOOGLETRANSLATE(R119, ""RO"", ""EN""), """")"),"3")</f>
        <v>3</v>
      </c>
      <c r="H119" s="5" t="str">
        <f>IFERROR(__xludf.DUMMYFUNCTION("IF(U119&lt;&gt;"""", GOOGLETRANSLATE(U119, ""RO"", ""EN""), """")"),"4")</f>
        <v>4</v>
      </c>
      <c r="I119" s="5" t="str">
        <f>IFERROR(__xludf.DUMMYFUNCTION("IF(V119&lt;&gt;"""", GOOGLETRANSLATE(V119, ""RO"", ""EN""), """")"),"5")</f>
        <v>5</v>
      </c>
      <c r="J119" s="5" t="str">
        <f>IFERROR(__xludf.DUMMYFUNCTION("IF(W119&lt;&gt;"""", GOOGLETRANSLATE(W119, ""RO"", ""EN""), """")"),"6")</f>
        <v>6</v>
      </c>
      <c r="K119" s="5" t="str">
        <f>IFERROR(__xludf.DUMMYFUNCTION("IF(X119&lt;&gt;"""", GOOGLETRANSLATE(X119, ""RO"", ""EN""), """")"),"7")</f>
        <v>7</v>
      </c>
      <c r="L119" s="5" t="str">
        <f>IFERROR(__xludf.DUMMYFUNCTION("IF(S119&lt;&gt;"""", GOOGLETRANSLATE(S119, ""RO"", ""EN""), """")"),"8")</f>
        <v>8</v>
      </c>
      <c r="M119" s="5" t="str">
        <f>IFERROR(__xludf.DUMMYFUNCTION("IF(T119&lt;&gt;"""", GOOGLETRANSLATE(T119, ""RO"", ""EN""), """")"),"9")</f>
        <v>9</v>
      </c>
      <c r="N119" s="5" t="str">
        <f>IFERROR(__xludf.DUMMYFUNCTION("IF(Y119&lt;&gt;"""", GOOGLETRANSLATE(Y119, ""RO"", ""EN""), """")"),"Fully")</f>
        <v>Fully</v>
      </c>
      <c r="O119" s="4" t="s">
        <v>363</v>
      </c>
      <c r="P119" s="4" t="s">
        <v>168</v>
      </c>
      <c r="Q119" s="4" t="s">
        <v>169</v>
      </c>
      <c r="R119" s="4" t="s">
        <v>170</v>
      </c>
      <c r="S119" s="4" t="s">
        <v>171</v>
      </c>
      <c r="T119" s="4" t="s">
        <v>172</v>
      </c>
      <c r="U119" s="4" t="s">
        <v>173</v>
      </c>
      <c r="V119" s="4" t="s">
        <v>174</v>
      </c>
      <c r="W119" s="4" t="s">
        <v>175</v>
      </c>
      <c r="X119" s="4" t="s">
        <v>176</v>
      </c>
      <c r="Y119" s="4" t="s">
        <v>364</v>
      </c>
      <c r="Z119" s="4" t="s">
        <v>177</v>
      </c>
      <c r="AA119" s="4" t="s">
        <v>103</v>
      </c>
      <c r="AB119" s="4" t="s">
        <v>104</v>
      </c>
    </row>
    <row r="120" ht="15.75" customHeight="1">
      <c r="A120" s="4" t="s">
        <v>407</v>
      </c>
      <c r="B120" s="4" t="s">
        <v>408</v>
      </c>
      <c r="C120" s="4" t="str">
        <f>IFERROR(__xludf.DUMMYFUNCTION("GOOGLETRANSLATE(B120, ""RO"", ""EN"")"),"Crin Antonescu knows how to lead the people he works with")</f>
        <v>Crin Antonescu knows how to lead the people he works with</v>
      </c>
      <c r="D120" s="5" t="str">
        <f>IFERROR(__xludf.DUMMYFUNCTION("IF(O120&lt;&gt;"""", GOOGLETRANSLATE(O120, ""RO"", ""EN""), """")"),"Not at all")</f>
        <v>Not at all</v>
      </c>
      <c r="E120" s="6" t="str">
        <f>IFERROR(__xludf.DUMMYFUNCTION("IF(P120&lt;&gt;"""", GOOGLETRANSLATE(P120, ""RO"", ""EN""), """")"),"1")</f>
        <v>1</v>
      </c>
      <c r="F120" s="5" t="str">
        <f>IFERROR(__xludf.DUMMYFUNCTION("IF(Q120&lt;&gt;"""", GOOGLETRANSLATE(Q120, ""RO"", ""EN""), """")"),"2")</f>
        <v>2</v>
      </c>
      <c r="G120" s="5" t="str">
        <f>IFERROR(__xludf.DUMMYFUNCTION("IF(R120&lt;&gt;"""", GOOGLETRANSLATE(R120, ""RO"", ""EN""), """")"),"3")</f>
        <v>3</v>
      </c>
      <c r="H120" s="5" t="str">
        <f>IFERROR(__xludf.DUMMYFUNCTION("IF(U120&lt;&gt;"""", GOOGLETRANSLATE(U120, ""RO"", ""EN""), """")"),"4")</f>
        <v>4</v>
      </c>
      <c r="I120" s="5" t="str">
        <f>IFERROR(__xludf.DUMMYFUNCTION("IF(V120&lt;&gt;"""", GOOGLETRANSLATE(V120, ""RO"", ""EN""), """")"),"5")</f>
        <v>5</v>
      </c>
      <c r="J120" s="5" t="str">
        <f>IFERROR(__xludf.DUMMYFUNCTION("IF(W120&lt;&gt;"""", GOOGLETRANSLATE(W120, ""RO"", ""EN""), """")"),"6")</f>
        <v>6</v>
      </c>
      <c r="K120" s="5" t="str">
        <f>IFERROR(__xludf.DUMMYFUNCTION("IF(X120&lt;&gt;"""", GOOGLETRANSLATE(X120, ""RO"", ""EN""), """")"),"7")</f>
        <v>7</v>
      </c>
      <c r="L120" s="5" t="str">
        <f>IFERROR(__xludf.DUMMYFUNCTION("IF(S120&lt;&gt;"""", GOOGLETRANSLATE(S120, ""RO"", ""EN""), """")"),"8")</f>
        <v>8</v>
      </c>
      <c r="M120" s="5" t="str">
        <f>IFERROR(__xludf.DUMMYFUNCTION("IF(T120&lt;&gt;"""", GOOGLETRANSLATE(T120, ""RO"", ""EN""), """")"),"9")</f>
        <v>9</v>
      </c>
      <c r="N120" s="5" t="str">
        <f>IFERROR(__xludf.DUMMYFUNCTION("IF(Y120&lt;&gt;"""", GOOGLETRANSLATE(Y120, ""RO"", ""EN""), """")"),"Fully")</f>
        <v>Fully</v>
      </c>
      <c r="O120" s="4" t="s">
        <v>363</v>
      </c>
      <c r="P120" s="4" t="s">
        <v>168</v>
      </c>
      <c r="Q120" s="4" t="s">
        <v>169</v>
      </c>
      <c r="R120" s="4" t="s">
        <v>170</v>
      </c>
      <c r="S120" s="4" t="s">
        <v>171</v>
      </c>
      <c r="T120" s="4" t="s">
        <v>172</v>
      </c>
      <c r="U120" s="4" t="s">
        <v>173</v>
      </c>
      <c r="V120" s="4" t="s">
        <v>174</v>
      </c>
      <c r="W120" s="4" t="s">
        <v>175</v>
      </c>
      <c r="X120" s="4" t="s">
        <v>176</v>
      </c>
      <c r="Y120" s="4" t="s">
        <v>364</v>
      </c>
      <c r="Z120" s="4" t="s">
        <v>177</v>
      </c>
      <c r="AA120" s="4" t="s">
        <v>103</v>
      </c>
      <c r="AB120" s="4" t="s">
        <v>104</v>
      </c>
    </row>
    <row r="121" ht="15.75" customHeight="1">
      <c r="A121" s="4" t="s">
        <v>409</v>
      </c>
      <c r="B121" s="4" t="s">
        <v>410</v>
      </c>
      <c r="C121" s="4" t="str">
        <f>IFERROR(__xludf.DUMMYFUNCTION("GOOGLETRANSLATE(B121, ""RO"", ""EN"")"),"Traian Basescu knows how to lead the people he works with")</f>
        <v>Traian Basescu knows how to lead the people he works with</v>
      </c>
      <c r="D121" s="5" t="str">
        <f>IFERROR(__xludf.DUMMYFUNCTION("IF(O121&lt;&gt;"""", GOOGLETRANSLATE(O121, ""RO"", ""EN""), """")"),"Not at all")</f>
        <v>Not at all</v>
      </c>
      <c r="E121" s="6" t="str">
        <f>IFERROR(__xludf.DUMMYFUNCTION("IF(P121&lt;&gt;"""", GOOGLETRANSLATE(P121, ""RO"", ""EN""), """")"),"1")</f>
        <v>1</v>
      </c>
      <c r="F121" s="5" t="str">
        <f>IFERROR(__xludf.DUMMYFUNCTION("IF(Q121&lt;&gt;"""", GOOGLETRANSLATE(Q121, ""RO"", ""EN""), """")"),"2")</f>
        <v>2</v>
      </c>
      <c r="G121" s="5" t="str">
        <f>IFERROR(__xludf.DUMMYFUNCTION("IF(R121&lt;&gt;"""", GOOGLETRANSLATE(R121, ""RO"", ""EN""), """")"),"3")</f>
        <v>3</v>
      </c>
      <c r="H121" s="5" t="str">
        <f>IFERROR(__xludf.DUMMYFUNCTION("IF(U121&lt;&gt;"""", GOOGLETRANSLATE(U121, ""RO"", ""EN""), """")"),"4")</f>
        <v>4</v>
      </c>
      <c r="I121" s="5" t="str">
        <f>IFERROR(__xludf.DUMMYFUNCTION("IF(V121&lt;&gt;"""", GOOGLETRANSLATE(V121, ""RO"", ""EN""), """")"),"5")</f>
        <v>5</v>
      </c>
      <c r="J121" s="5" t="str">
        <f>IFERROR(__xludf.DUMMYFUNCTION("IF(W121&lt;&gt;"""", GOOGLETRANSLATE(W121, ""RO"", ""EN""), """")"),"6")</f>
        <v>6</v>
      </c>
      <c r="K121" s="5" t="str">
        <f>IFERROR(__xludf.DUMMYFUNCTION("IF(X121&lt;&gt;"""", GOOGLETRANSLATE(X121, ""RO"", ""EN""), """")"),"7")</f>
        <v>7</v>
      </c>
      <c r="L121" s="5" t="str">
        <f>IFERROR(__xludf.DUMMYFUNCTION("IF(S121&lt;&gt;"""", GOOGLETRANSLATE(S121, ""RO"", ""EN""), """")"),"8")</f>
        <v>8</v>
      </c>
      <c r="M121" s="5" t="str">
        <f>IFERROR(__xludf.DUMMYFUNCTION("IF(T121&lt;&gt;"""", GOOGLETRANSLATE(T121, ""RO"", ""EN""), """")"),"9")</f>
        <v>9</v>
      </c>
      <c r="N121" s="5" t="str">
        <f>IFERROR(__xludf.DUMMYFUNCTION("IF(Y121&lt;&gt;"""", GOOGLETRANSLATE(Y121, ""RO"", ""EN""), """")"),"Fully")</f>
        <v>Fully</v>
      </c>
      <c r="O121" s="4" t="s">
        <v>363</v>
      </c>
      <c r="P121" s="4" t="s">
        <v>168</v>
      </c>
      <c r="Q121" s="4" t="s">
        <v>169</v>
      </c>
      <c r="R121" s="4" t="s">
        <v>170</v>
      </c>
      <c r="S121" s="4" t="s">
        <v>171</v>
      </c>
      <c r="T121" s="4" t="s">
        <v>172</v>
      </c>
      <c r="U121" s="4" t="s">
        <v>173</v>
      </c>
      <c r="V121" s="4" t="s">
        <v>174</v>
      </c>
      <c r="W121" s="4" t="s">
        <v>175</v>
      </c>
      <c r="X121" s="4" t="s">
        <v>176</v>
      </c>
      <c r="Y121" s="4" t="s">
        <v>364</v>
      </c>
      <c r="Z121" s="4" t="s">
        <v>177</v>
      </c>
      <c r="AA121" s="4" t="s">
        <v>103</v>
      </c>
      <c r="AB121" s="4" t="s">
        <v>104</v>
      </c>
    </row>
    <row r="122" ht="15.75" customHeight="1">
      <c r="A122" s="4" t="s">
        <v>411</v>
      </c>
      <c r="B122" s="4" t="s">
        <v>412</v>
      </c>
      <c r="C122" s="4" t="str">
        <f>IFERROR(__xludf.DUMMYFUNCTION("GOOGLETRANSLATE(B122, ""RO"", ""EN"")"),"Mircea Geoana is conflict/quarrel")</f>
        <v>Mircea Geoana is conflict/quarrel</v>
      </c>
      <c r="D122" s="5" t="str">
        <f>IFERROR(__xludf.DUMMYFUNCTION("IF(O122&lt;&gt;"""", GOOGLETRANSLATE(O122, ""RO"", ""EN""), """")"),"Not at all")</f>
        <v>Not at all</v>
      </c>
      <c r="E122" s="6" t="str">
        <f>IFERROR(__xludf.DUMMYFUNCTION("IF(P122&lt;&gt;"""", GOOGLETRANSLATE(P122, ""RO"", ""EN""), """")"),"1")</f>
        <v>1</v>
      </c>
      <c r="F122" s="5" t="str">
        <f>IFERROR(__xludf.DUMMYFUNCTION("IF(Q122&lt;&gt;"""", GOOGLETRANSLATE(Q122, ""RO"", ""EN""), """")"),"2")</f>
        <v>2</v>
      </c>
      <c r="G122" s="5" t="str">
        <f>IFERROR(__xludf.DUMMYFUNCTION("IF(R122&lt;&gt;"""", GOOGLETRANSLATE(R122, ""RO"", ""EN""), """")"),"3")</f>
        <v>3</v>
      </c>
      <c r="H122" s="5" t="str">
        <f>IFERROR(__xludf.DUMMYFUNCTION("IF(U122&lt;&gt;"""", GOOGLETRANSLATE(U122, ""RO"", ""EN""), """")"),"4")</f>
        <v>4</v>
      </c>
      <c r="I122" s="5" t="str">
        <f>IFERROR(__xludf.DUMMYFUNCTION("IF(V122&lt;&gt;"""", GOOGLETRANSLATE(V122, ""RO"", ""EN""), """")"),"5")</f>
        <v>5</v>
      </c>
      <c r="J122" s="5" t="str">
        <f>IFERROR(__xludf.DUMMYFUNCTION("IF(W122&lt;&gt;"""", GOOGLETRANSLATE(W122, ""RO"", ""EN""), """")"),"6")</f>
        <v>6</v>
      </c>
      <c r="K122" s="5" t="str">
        <f>IFERROR(__xludf.DUMMYFUNCTION("IF(X122&lt;&gt;"""", GOOGLETRANSLATE(X122, ""RO"", ""EN""), """")"),"7")</f>
        <v>7</v>
      </c>
      <c r="L122" s="5" t="str">
        <f>IFERROR(__xludf.DUMMYFUNCTION("IF(S122&lt;&gt;"""", GOOGLETRANSLATE(S122, ""RO"", ""EN""), """")"),"8")</f>
        <v>8</v>
      </c>
      <c r="M122" s="5" t="str">
        <f>IFERROR(__xludf.DUMMYFUNCTION("IF(T122&lt;&gt;"""", GOOGLETRANSLATE(T122, ""RO"", ""EN""), """")"),"9")</f>
        <v>9</v>
      </c>
      <c r="N122" s="5" t="str">
        <f>IFERROR(__xludf.DUMMYFUNCTION("IF(Y122&lt;&gt;"""", GOOGLETRANSLATE(Y122, ""RO"", ""EN""), """")"),"Fully")</f>
        <v>Fully</v>
      </c>
      <c r="O122" s="4" t="s">
        <v>363</v>
      </c>
      <c r="P122" s="4" t="s">
        <v>168</v>
      </c>
      <c r="Q122" s="4" t="s">
        <v>169</v>
      </c>
      <c r="R122" s="4" t="s">
        <v>170</v>
      </c>
      <c r="S122" s="4" t="s">
        <v>171</v>
      </c>
      <c r="T122" s="4" t="s">
        <v>172</v>
      </c>
      <c r="U122" s="4" t="s">
        <v>173</v>
      </c>
      <c r="V122" s="4" t="s">
        <v>174</v>
      </c>
      <c r="W122" s="4" t="s">
        <v>175</v>
      </c>
      <c r="X122" s="4" t="s">
        <v>176</v>
      </c>
      <c r="Y122" s="4" t="s">
        <v>364</v>
      </c>
      <c r="Z122" s="4" t="s">
        <v>177</v>
      </c>
      <c r="AA122" s="4" t="s">
        <v>103</v>
      </c>
      <c r="AB122" s="4" t="s">
        <v>104</v>
      </c>
    </row>
    <row r="123" ht="15.75" customHeight="1">
      <c r="A123" s="4" t="s">
        <v>413</v>
      </c>
      <c r="B123" s="4" t="s">
        <v>414</v>
      </c>
      <c r="C123" s="4" t="str">
        <f>IFERROR(__xludf.DUMMYFUNCTION("GOOGLETRANSLATE(B123, ""RO"", ""EN"")"),"Crin Antonescu is conflict/quarrel")</f>
        <v>Crin Antonescu is conflict/quarrel</v>
      </c>
      <c r="D123" s="5" t="str">
        <f>IFERROR(__xludf.DUMMYFUNCTION("IF(O123&lt;&gt;"""", GOOGLETRANSLATE(O123, ""RO"", ""EN""), """")"),"Not at all")</f>
        <v>Not at all</v>
      </c>
      <c r="E123" s="6" t="str">
        <f>IFERROR(__xludf.DUMMYFUNCTION("IF(P123&lt;&gt;"""", GOOGLETRANSLATE(P123, ""RO"", ""EN""), """")"),"1")</f>
        <v>1</v>
      </c>
      <c r="F123" s="5" t="str">
        <f>IFERROR(__xludf.DUMMYFUNCTION("IF(Q123&lt;&gt;"""", GOOGLETRANSLATE(Q123, ""RO"", ""EN""), """")"),"2")</f>
        <v>2</v>
      </c>
      <c r="G123" s="5" t="str">
        <f>IFERROR(__xludf.DUMMYFUNCTION("IF(R123&lt;&gt;"""", GOOGLETRANSLATE(R123, ""RO"", ""EN""), """")"),"3")</f>
        <v>3</v>
      </c>
      <c r="H123" s="5" t="str">
        <f>IFERROR(__xludf.DUMMYFUNCTION("IF(U123&lt;&gt;"""", GOOGLETRANSLATE(U123, ""RO"", ""EN""), """")"),"4")</f>
        <v>4</v>
      </c>
      <c r="I123" s="5" t="str">
        <f>IFERROR(__xludf.DUMMYFUNCTION("IF(V123&lt;&gt;"""", GOOGLETRANSLATE(V123, ""RO"", ""EN""), """")"),"5")</f>
        <v>5</v>
      </c>
      <c r="J123" s="5" t="str">
        <f>IFERROR(__xludf.DUMMYFUNCTION("IF(W123&lt;&gt;"""", GOOGLETRANSLATE(W123, ""RO"", ""EN""), """")"),"6")</f>
        <v>6</v>
      </c>
      <c r="K123" s="5" t="str">
        <f>IFERROR(__xludf.DUMMYFUNCTION("IF(X123&lt;&gt;"""", GOOGLETRANSLATE(X123, ""RO"", ""EN""), """")"),"7")</f>
        <v>7</v>
      </c>
      <c r="L123" s="5" t="str">
        <f>IFERROR(__xludf.DUMMYFUNCTION("IF(S123&lt;&gt;"""", GOOGLETRANSLATE(S123, ""RO"", ""EN""), """")"),"8")</f>
        <v>8</v>
      </c>
      <c r="M123" s="5" t="str">
        <f>IFERROR(__xludf.DUMMYFUNCTION("IF(T123&lt;&gt;"""", GOOGLETRANSLATE(T123, ""RO"", ""EN""), """")"),"9")</f>
        <v>9</v>
      </c>
      <c r="N123" s="5" t="str">
        <f>IFERROR(__xludf.DUMMYFUNCTION("IF(Y123&lt;&gt;"""", GOOGLETRANSLATE(Y123, ""RO"", ""EN""), """")"),"Fully")</f>
        <v>Fully</v>
      </c>
      <c r="O123" s="4" t="s">
        <v>363</v>
      </c>
      <c r="P123" s="4" t="s">
        <v>168</v>
      </c>
      <c r="Q123" s="4" t="s">
        <v>169</v>
      </c>
      <c r="R123" s="4" t="s">
        <v>170</v>
      </c>
      <c r="S123" s="4" t="s">
        <v>171</v>
      </c>
      <c r="T123" s="4" t="s">
        <v>172</v>
      </c>
      <c r="U123" s="4" t="s">
        <v>173</v>
      </c>
      <c r="V123" s="4" t="s">
        <v>174</v>
      </c>
      <c r="W123" s="4" t="s">
        <v>175</v>
      </c>
      <c r="X123" s="4" t="s">
        <v>176</v>
      </c>
      <c r="Y123" s="4" t="s">
        <v>364</v>
      </c>
      <c r="Z123" s="4" t="s">
        <v>177</v>
      </c>
      <c r="AA123" s="4" t="s">
        <v>103</v>
      </c>
      <c r="AB123" s="4" t="s">
        <v>104</v>
      </c>
    </row>
    <row r="124" ht="15.75" customHeight="1">
      <c r="A124" s="4" t="s">
        <v>415</v>
      </c>
      <c r="B124" s="4" t="s">
        <v>416</v>
      </c>
      <c r="C124" s="4" t="str">
        <f>IFERROR(__xludf.DUMMYFUNCTION("GOOGLETRANSLATE(B124, ""RO"", ""EN"")"),"Traian Basescu is conflict/quarrel")</f>
        <v>Traian Basescu is conflict/quarrel</v>
      </c>
      <c r="D124" s="5" t="str">
        <f>IFERROR(__xludf.DUMMYFUNCTION("IF(O124&lt;&gt;"""", GOOGLETRANSLATE(O124, ""RO"", ""EN""), """")"),"Not at all")</f>
        <v>Not at all</v>
      </c>
      <c r="E124" s="6" t="str">
        <f>IFERROR(__xludf.DUMMYFUNCTION("IF(P124&lt;&gt;"""", GOOGLETRANSLATE(P124, ""RO"", ""EN""), """")"),"1")</f>
        <v>1</v>
      </c>
      <c r="F124" s="5" t="str">
        <f>IFERROR(__xludf.DUMMYFUNCTION("IF(Q124&lt;&gt;"""", GOOGLETRANSLATE(Q124, ""RO"", ""EN""), """")"),"2")</f>
        <v>2</v>
      </c>
      <c r="G124" s="5" t="str">
        <f>IFERROR(__xludf.DUMMYFUNCTION("IF(R124&lt;&gt;"""", GOOGLETRANSLATE(R124, ""RO"", ""EN""), """")"),"3")</f>
        <v>3</v>
      </c>
      <c r="H124" s="5" t="str">
        <f>IFERROR(__xludf.DUMMYFUNCTION("IF(U124&lt;&gt;"""", GOOGLETRANSLATE(U124, ""RO"", ""EN""), """")"),"4")</f>
        <v>4</v>
      </c>
      <c r="I124" s="5" t="str">
        <f>IFERROR(__xludf.DUMMYFUNCTION("IF(V124&lt;&gt;"""", GOOGLETRANSLATE(V124, ""RO"", ""EN""), """")"),"5")</f>
        <v>5</v>
      </c>
      <c r="J124" s="5" t="str">
        <f>IFERROR(__xludf.DUMMYFUNCTION("IF(W124&lt;&gt;"""", GOOGLETRANSLATE(W124, ""RO"", ""EN""), """")"),"6")</f>
        <v>6</v>
      </c>
      <c r="K124" s="5" t="str">
        <f>IFERROR(__xludf.DUMMYFUNCTION("IF(X124&lt;&gt;"""", GOOGLETRANSLATE(X124, ""RO"", ""EN""), """")"),"7")</f>
        <v>7</v>
      </c>
      <c r="L124" s="5" t="str">
        <f>IFERROR(__xludf.DUMMYFUNCTION("IF(S124&lt;&gt;"""", GOOGLETRANSLATE(S124, ""RO"", ""EN""), """")"),"8")</f>
        <v>8</v>
      </c>
      <c r="M124" s="5" t="str">
        <f>IFERROR(__xludf.DUMMYFUNCTION("IF(T124&lt;&gt;"""", GOOGLETRANSLATE(T124, ""RO"", ""EN""), """")"),"9")</f>
        <v>9</v>
      </c>
      <c r="N124" s="5" t="str">
        <f>IFERROR(__xludf.DUMMYFUNCTION("IF(Y124&lt;&gt;"""", GOOGLETRANSLATE(Y124, ""RO"", ""EN""), """")"),"Fully")</f>
        <v>Fully</v>
      </c>
      <c r="O124" s="4" t="s">
        <v>363</v>
      </c>
      <c r="P124" s="4" t="s">
        <v>168</v>
      </c>
      <c r="Q124" s="4" t="s">
        <v>169</v>
      </c>
      <c r="R124" s="4" t="s">
        <v>170</v>
      </c>
      <c r="S124" s="4" t="s">
        <v>171</v>
      </c>
      <c r="T124" s="4" t="s">
        <v>172</v>
      </c>
      <c r="U124" s="4" t="s">
        <v>173</v>
      </c>
      <c r="V124" s="4" t="s">
        <v>174</v>
      </c>
      <c r="W124" s="4" t="s">
        <v>175</v>
      </c>
      <c r="X124" s="4" t="s">
        <v>176</v>
      </c>
      <c r="Y124" s="4" t="s">
        <v>364</v>
      </c>
      <c r="Z124" s="4" t="s">
        <v>177</v>
      </c>
      <c r="AA124" s="4" t="s">
        <v>103</v>
      </c>
      <c r="AB124" s="4" t="s">
        <v>104</v>
      </c>
    </row>
    <row r="125" ht="15.75" customHeight="1">
      <c r="A125" s="4" t="s">
        <v>417</v>
      </c>
      <c r="B125" s="4" t="s">
        <v>418</v>
      </c>
      <c r="C125" s="4" t="str">
        <f>IFERROR(__xludf.DUMMYFUNCTION("GOOGLETRANSLATE(B125, ""RO"", ""EN"")"),"What chances do you think has ... to win the presidential elections? Please express your opinion on a scale from 0 to 10, where 0 means ""no chance to become president"" and 10 ""Sure President"" becomes. Mircea Geoana")</f>
        <v>What chances do you think has ... to win the presidential elections? Please express your opinion on a scale from 0 to 10, where 0 means "no chance to become president" and 10 "Sure President" becomes. Mircea Geoana</v>
      </c>
      <c r="D125" s="5" t="str">
        <f>IFERROR(__xludf.DUMMYFUNCTION("IF(O125&lt;&gt;"""", GOOGLETRANSLATE(O125, ""RO"", ""EN""), """")"),"No chance to become president")</f>
        <v>No chance to become president</v>
      </c>
      <c r="E125" s="6" t="str">
        <f>IFERROR(__xludf.DUMMYFUNCTION("IF(P125&lt;&gt;"""", GOOGLETRANSLATE(P125, ""RO"", ""EN""), """")"),"1")</f>
        <v>1</v>
      </c>
      <c r="F125" s="5" t="str">
        <f>IFERROR(__xludf.DUMMYFUNCTION("IF(Q125&lt;&gt;"""", GOOGLETRANSLATE(Q125, ""RO"", ""EN""), """")"),"2")</f>
        <v>2</v>
      </c>
      <c r="G125" s="5" t="str">
        <f>IFERROR(__xludf.DUMMYFUNCTION("IF(R125&lt;&gt;"""", GOOGLETRANSLATE(R125, ""RO"", ""EN""), """")"),"3")</f>
        <v>3</v>
      </c>
      <c r="H125" s="5" t="str">
        <f>IFERROR(__xludf.DUMMYFUNCTION("IF(U125&lt;&gt;"""", GOOGLETRANSLATE(U125, ""RO"", ""EN""), """")"),"4")</f>
        <v>4</v>
      </c>
      <c r="I125" s="5" t="str">
        <f>IFERROR(__xludf.DUMMYFUNCTION("IF(V125&lt;&gt;"""", GOOGLETRANSLATE(V125, ""RO"", ""EN""), """")"),"5")</f>
        <v>5</v>
      </c>
      <c r="J125" s="5" t="str">
        <f>IFERROR(__xludf.DUMMYFUNCTION("IF(W125&lt;&gt;"""", GOOGLETRANSLATE(W125, ""RO"", ""EN""), """")"),"6")</f>
        <v>6</v>
      </c>
      <c r="K125" s="5" t="str">
        <f>IFERROR(__xludf.DUMMYFUNCTION("IF(X125&lt;&gt;"""", GOOGLETRANSLATE(X125, ""RO"", ""EN""), """")"),"7")</f>
        <v>7</v>
      </c>
      <c r="L125" s="5" t="str">
        <f>IFERROR(__xludf.DUMMYFUNCTION("IF(S125&lt;&gt;"""", GOOGLETRANSLATE(S125, ""RO"", ""EN""), """")"),"8")</f>
        <v>8</v>
      </c>
      <c r="M125" s="5" t="str">
        <f>IFERROR(__xludf.DUMMYFUNCTION("IF(T125&lt;&gt;"""", GOOGLETRANSLATE(T125, ""RO"", ""EN""), """")"),"9")</f>
        <v>9</v>
      </c>
      <c r="N125" s="5" t="str">
        <f>IFERROR(__xludf.DUMMYFUNCTION("IF(Y125&lt;&gt;"""", GOOGLETRANSLATE(Y125, ""RO"", ""EN""), """")"),"Sure he becomes president")</f>
        <v>Sure he becomes president</v>
      </c>
      <c r="O125" s="4" t="s">
        <v>419</v>
      </c>
      <c r="P125" s="4" t="s">
        <v>168</v>
      </c>
      <c r="Q125" s="4" t="s">
        <v>169</v>
      </c>
      <c r="R125" s="4" t="s">
        <v>170</v>
      </c>
      <c r="S125" s="4" t="s">
        <v>171</v>
      </c>
      <c r="T125" s="4" t="s">
        <v>172</v>
      </c>
      <c r="U125" s="4" t="s">
        <v>173</v>
      </c>
      <c r="V125" s="4" t="s">
        <v>174</v>
      </c>
      <c r="W125" s="4" t="s">
        <v>175</v>
      </c>
      <c r="X125" s="4" t="s">
        <v>176</v>
      </c>
      <c r="Y125" s="4" t="s">
        <v>420</v>
      </c>
      <c r="Z125" s="4" t="s">
        <v>421</v>
      </c>
      <c r="AA125" s="4" t="s">
        <v>103</v>
      </c>
      <c r="AB125" s="4" t="s">
        <v>104</v>
      </c>
    </row>
    <row r="126" ht="15.75" customHeight="1">
      <c r="A126" s="4" t="s">
        <v>422</v>
      </c>
      <c r="B126" s="4" t="s">
        <v>220</v>
      </c>
      <c r="C126" s="4" t="str">
        <f>IFERROR(__xludf.DUMMYFUNCTION("GOOGLETRANSLATE(B126, ""RO"", ""EN"")"),"Crin Antonescu")</f>
        <v>Crin Antonescu</v>
      </c>
      <c r="D126" s="5" t="str">
        <f>IFERROR(__xludf.DUMMYFUNCTION("IF(O126&lt;&gt;"""", GOOGLETRANSLATE(O126, ""RO"", ""EN""), """")"),"No chance to become president")</f>
        <v>No chance to become president</v>
      </c>
      <c r="E126" s="6" t="str">
        <f>IFERROR(__xludf.DUMMYFUNCTION("IF(P126&lt;&gt;"""", GOOGLETRANSLATE(P126, ""RO"", ""EN""), """")"),"1")</f>
        <v>1</v>
      </c>
      <c r="F126" s="5" t="str">
        <f>IFERROR(__xludf.DUMMYFUNCTION("IF(Q126&lt;&gt;"""", GOOGLETRANSLATE(Q126, ""RO"", ""EN""), """")"),"2")</f>
        <v>2</v>
      </c>
      <c r="G126" s="5" t="str">
        <f>IFERROR(__xludf.DUMMYFUNCTION("IF(R126&lt;&gt;"""", GOOGLETRANSLATE(R126, ""RO"", ""EN""), """")"),"3")</f>
        <v>3</v>
      </c>
      <c r="H126" s="5" t="str">
        <f>IFERROR(__xludf.DUMMYFUNCTION("IF(U126&lt;&gt;"""", GOOGLETRANSLATE(U126, ""RO"", ""EN""), """")"),"4")</f>
        <v>4</v>
      </c>
      <c r="I126" s="5" t="str">
        <f>IFERROR(__xludf.DUMMYFUNCTION("IF(V126&lt;&gt;"""", GOOGLETRANSLATE(V126, ""RO"", ""EN""), """")"),"5")</f>
        <v>5</v>
      </c>
      <c r="J126" s="5" t="str">
        <f>IFERROR(__xludf.DUMMYFUNCTION("IF(W126&lt;&gt;"""", GOOGLETRANSLATE(W126, ""RO"", ""EN""), """")"),"6")</f>
        <v>6</v>
      </c>
      <c r="K126" s="5" t="str">
        <f>IFERROR(__xludf.DUMMYFUNCTION("IF(X126&lt;&gt;"""", GOOGLETRANSLATE(X126, ""RO"", ""EN""), """")"),"7")</f>
        <v>7</v>
      </c>
      <c r="L126" s="5" t="str">
        <f>IFERROR(__xludf.DUMMYFUNCTION("IF(S126&lt;&gt;"""", GOOGLETRANSLATE(S126, ""RO"", ""EN""), """")"),"8")</f>
        <v>8</v>
      </c>
      <c r="M126" s="5" t="str">
        <f>IFERROR(__xludf.DUMMYFUNCTION("IF(T126&lt;&gt;"""", GOOGLETRANSLATE(T126, ""RO"", ""EN""), """")"),"9")</f>
        <v>9</v>
      </c>
      <c r="N126" s="5" t="str">
        <f>IFERROR(__xludf.DUMMYFUNCTION("IF(Y126&lt;&gt;"""", GOOGLETRANSLATE(Y126, ""RO"", ""EN""), """")"),"Sure he becomes president")</f>
        <v>Sure he becomes president</v>
      </c>
      <c r="O126" s="4" t="s">
        <v>419</v>
      </c>
      <c r="P126" s="4" t="s">
        <v>168</v>
      </c>
      <c r="Q126" s="4" t="s">
        <v>169</v>
      </c>
      <c r="R126" s="4" t="s">
        <v>170</v>
      </c>
      <c r="S126" s="4" t="s">
        <v>171</v>
      </c>
      <c r="T126" s="4" t="s">
        <v>172</v>
      </c>
      <c r="U126" s="4" t="s">
        <v>173</v>
      </c>
      <c r="V126" s="4" t="s">
        <v>174</v>
      </c>
      <c r="W126" s="4" t="s">
        <v>175</v>
      </c>
      <c r="X126" s="4" t="s">
        <v>176</v>
      </c>
      <c r="Y126" s="4" t="s">
        <v>420</v>
      </c>
      <c r="Z126" s="4" t="s">
        <v>421</v>
      </c>
      <c r="AA126" s="4" t="s">
        <v>103</v>
      </c>
      <c r="AB126" s="4" t="s">
        <v>104</v>
      </c>
    </row>
    <row r="127" ht="15.75" customHeight="1">
      <c r="A127" s="4" t="s">
        <v>423</v>
      </c>
      <c r="B127" s="4" t="s">
        <v>221</v>
      </c>
      <c r="C127" s="4" t="str">
        <f>IFERROR(__xludf.DUMMYFUNCTION("GOOGLETRANSLATE(B127, ""RO"", ""EN"")"),"Traian Basescu")</f>
        <v>Traian Basescu</v>
      </c>
      <c r="D127" s="5" t="str">
        <f>IFERROR(__xludf.DUMMYFUNCTION("IF(O127&lt;&gt;"""", GOOGLETRANSLATE(O127, ""RO"", ""EN""), """")"),"No chance to become president")</f>
        <v>No chance to become president</v>
      </c>
      <c r="E127" s="6" t="str">
        <f>IFERROR(__xludf.DUMMYFUNCTION("IF(P127&lt;&gt;"""", GOOGLETRANSLATE(P127, ""RO"", ""EN""), """")"),"1")</f>
        <v>1</v>
      </c>
      <c r="F127" s="5" t="str">
        <f>IFERROR(__xludf.DUMMYFUNCTION("IF(Q127&lt;&gt;"""", GOOGLETRANSLATE(Q127, ""RO"", ""EN""), """")"),"2")</f>
        <v>2</v>
      </c>
      <c r="G127" s="5" t="str">
        <f>IFERROR(__xludf.DUMMYFUNCTION("IF(R127&lt;&gt;"""", GOOGLETRANSLATE(R127, ""RO"", ""EN""), """")"),"3")</f>
        <v>3</v>
      </c>
      <c r="H127" s="5" t="str">
        <f>IFERROR(__xludf.DUMMYFUNCTION("IF(U127&lt;&gt;"""", GOOGLETRANSLATE(U127, ""RO"", ""EN""), """")"),"4")</f>
        <v>4</v>
      </c>
      <c r="I127" s="5" t="str">
        <f>IFERROR(__xludf.DUMMYFUNCTION("IF(V127&lt;&gt;"""", GOOGLETRANSLATE(V127, ""RO"", ""EN""), """")"),"5")</f>
        <v>5</v>
      </c>
      <c r="J127" s="5" t="str">
        <f>IFERROR(__xludf.DUMMYFUNCTION("IF(W127&lt;&gt;"""", GOOGLETRANSLATE(W127, ""RO"", ""EN""), """")"),"6")</f>
        <v>6</v>
      </c>
      <c r="K127" s="5" t="str">
        <f>IFERROR(__xludf.DUMMYFUNCTION("IF(X127&lt;&gt;"""", GOOGLETRANSLATE(X127, ""RO"", ""EN""), """")"),"7")</f>
        <v>7</v>
      </c>
      <c r="L127" s="5" t="str">
        <f>IFERROR(__xludf.DUMMYFUNCTION("IF(S127&lt;&gt;"""", GOOGLETRANSLATE(S127, ""RO"", ""EN""), """")"),"8")</f>
        <v>8</v>
      </c>
      <c r="M127" s="5" t="str">
        <f>IFERROR(__xludf.DUMMYFUNCTION("IF(T127&lt;&gt;"""", GOOGLETRANSLATE(T127, ""RO"", ""EN""), """")"),"9")</f>
        <v>9</v>
      </c>
      <c r="N127" s="5" t="str">
        <f>IFERROR(__xludf.DUMMYFUNCTION("IF(Y127&lt;&gt;"""", GOOGLETRANSLATE(Y127, ""RO"", ""EN""), """")"),"Sure he becomes president")</f>
        <v>Sure he becomes president</v>
      </c>
      <c r="O127" s="4" t="s">
        <v>419</v>
      </c>
      <c r="P127" s="4" t="s">
        <v>168</v>
      </c>
      <c r="Q127" s="4" t="s">
        <v>169</v>
      </c>
      <c r="R127" s="4" t="s">
        <v>170</v>
      </c>
      <c r="S127" s="4" t="s">
        <v>171</v>
      </c>
      <c r="T127" s="4" t="s">
        <v>172</v>
      </c>
      <c r="U127" s="4" t="s">
        <v>173</v>
      </c>
      <c r="V127" s="4" t="s">
        <v>174</v>
      </c>
      <c r="W127" s="4" t="s">
        <v>175</v>
      </c>
      <c r="X127" s="4" t="s">
        <v>176</v>
      </c>
      <c r="Y127" s="4" t="s">
        <v>420</v>
      </c>
      <c r="Z127" s="4" t="s">
        <v>421</v>
      </c>
      <c r="AA127" s="4" t="s">
        <v>103</v>
      </c>
      <c r="AB127" s="4" t="s">
        <v>104</v>
      </c>
    </row>
    <row r="128" ht="15.75" customHeight="1">
      <c r="A128" s="4" t="s">
        <v>424</v>
      </c>
      <c r="B128" s="4" t="s">
        <v>223</v>
      </c>
      <c r="C128" s="4" t="str">
        <f>IFERROR(__xludf.DUMMYFUNCTION("GOOGLETRANSLATE(B128, ""RO"", ""EN"")"),"Sorin Oprescu")</f>
        <v>Sorin Oprescu</v>
      </c>
      <c r="D128" s="5" t="str">
        <f>IFERROR(__xludf.DUMMYFUNCTION("IF(O128&lt;&gt;"""", GOOGLETRANSLATE(O128, ""RO"", ""EN""), """")"),"No chance to become president")</f>
        <v>No chance to become president</v>
      </c>
      <c r="E128" s="6" t="str">
        <f>IFERROR(__xludf.DUMMYFUNCTION("IF(P128&lt;&gt;"""", GOOGLETRANSLATE(P128, ""RO"", ""EN""), """")"),"1")</f>
        <v>1</v>
      </c>
      <c r="F128" s="5" t="str">
        <f>IFERROR(__xludf.DUMMYFUNCTION("IF(Q128&lt;&gt;"""", GOOGLETRANSLATE(Q128, ""RO"", ""EN""), """")"),"2")</f>
        <v>2</v>
      </c>
      <c r="G128" s="5" t="str">
        <f>IFERROR(__xludf.DUMMYFUNCTION("IF(R128&lt;&gt;"""", GOOGLETRANSLATE(R128, ""RO"", ""EN""), """")"),"3")</f>
        <v>3</v>
      </c>
      <c r="H128" s="5" t="str">
        <f>IFERROR(__xludf.DUMMYFUNCTION("IF(U128&lt;&gt;"""", GOOGLETRANSLATE(U128, ""RO"", ""EN""), """")"),"4")</f>
        <v>4</v>
      </c>
      <c r="I128" s="5" t="str">
        <f>IFERROR(__xludf.DUMMYFUNCTION("IF(V128&lt;&gt;"""", GOOGLETRANSLATE(V128, ""RO"", ""EN""), """")"),"5")</f>
        <v>5</v>
      </c>
      <c r="J128" s="5" t="str">
        <f>IFERROR(__xludf.DUMMYFUNCTION("IF(W128&lt;&gt;"""", GOOGLETRANSLATE(W128, ""RO"", ""EN""), """")"),"6")</f>
        <v>6</v>
      </c>
      <c r="K128" s="5" t="str">
        <f>IFERROR(__xludf.DUMMYFUNCTION("IF(X128&lt;&gt;"""", GOOGLETRANSLATE(X128, ""RO"", ""EN""), """")"),"7")</f>
        <v>7</v>
      </c>
      <c r="L128" s="5" t="str">
        <f>IFERROR(__xludf.DUMMYFUNCTION("IF(S128&lt;&gt;"""", GOOGLETRANSLATE(S128, ""RO"", ""EN""), """")"),"8")</f>
        <v>8</v>
      </c>
      <c r="M128" s="5" t="str">
        <f>IFERROR(__xludf.DUMMYFUNCTION("IF(T128&lt;&gt;"""", GOOGLETRANSLATE(T128, ""RO"", ""EN""), """")"),"9")</f>
        <v>9</v>
      </c>
      <c r="N128" s="5" t="str">
        <f>IFERROR(__xludf.DUMMYFUNCTION("IF(Y128&lt;&gt;"""", GOOGLETRANSLATE(Y128, ""RO"", ""EN""), """")"),"Sure he becomes president")</f>
        <v>Sure he becomes president</v>
      </c>
      <c r="O128" s="4" t="s">
        <v>419</v>
      </c>
      <c r="P128" s="4" t="s">
        <v>168</v>
      </c>
      <c r="Q128" s="4" t="s">
        <v>169</v>
      </c>
      <c r="R128" s="4" t="s">
        <v>170</v>
      </c>
      <c r="S128" s="4" t="s">
        <v>171</v>
      </c>
      <c r="T128" s="4" t="s">
        <v>172</v>
      </c>
      <c r="U128" s="4" t="s">
        <v>173</v>
      </c>
      <c r="V128" s="4" t="s">
        <v>174</v>
      </c>
      <c r="W128" s="4" t="s">
        <v>175</v>
      </c>
      <c r="X128" s="4" t="s">
        <v>176</v>
      </c>
      <c r="Y128" s="4" t="s">
        <v>420</v>
      </c>
      <c r="Z128" s="4" t="s">
        <v>421</v>
      </c>
      <c r="AA128" s="4" t="s">
        <v>103</v>
      </c>
      <c r="AB128" s="4" t="s">
        <v>104</v>
      </c>
    </row>
    <row r="129" ht="15.75" customHeight="1">
      <c r="A129" s="4" t="s">
        <v>425</v>
      </c>
      <c r="B129" s="4" t="s">
        <v>426</v>
      </c>
      <c r="C129" s="4" t="str">
        <f>IFERROR(__xludf.DUMMYFUNCTION("GOOGLETRANSLATE(B129, ""RO"", ""EN"")"),"Any other candidate")</f>
        <v>Any other candidate</v>
      </c>
      <c r="D129" s="5" t="str">
        <f>IFERROR(__xludf.DUMMYFUNCTION("IF(O129&lt;&gt;"""", GOOGLETRANSLATE(O129, ""RO"", ""EN""), """")"),"No chance to become president")</f>
        <v>No chance to become president</v>
      </c>
      <c r="E129" s="6" t="str">
        <f>IFERROR(__xludf.DUMMYFUNCTION("IF(P129&lt;&gt;"""", GOOGLETRANSLATE(P129, ""RO"", ""EN""), """")"),"1")</f>
        <v>1</v>
      </c>
      <c r="F129" s="5" t="str">
        <f>IFERROR(__xludf.DUMMYFUNCTION("IF(Q129&lt;&gt;"""", GOOGLETRANSLATE(Q129, ""RO"", ""EN""), """")"),"2")</f>
        <v>2</v>
      </c>
      <c r="G129" s="5" t="str">
        <f>IFERROR(__xludf.DUMMYFUNCTION("IF(R129&lt;&gt;"""", GOOGLETRANSLATE(R129, ""RO"", ""EN""), """")"),"3")</f>
        <v>3</v>
      </c>
      <c r="H129" s="5" t="str">
        <f>IFERROR(__xludf.DUMMYFUNCTION("IF(U129&lt;&gt;"""", GOOGLETRANSLATE(U129, ""RO"", ""EN""), """")"),"4")</f>
        <v>4</v>
      </c>
      <c r="I129" s="5" t="str">
        <f>IFERROR(__xludf.DUMMYFUNCTION("IF(V129&lt;&gt;"""", GOOGLETRANSLATE(V129, ""RO"", ""EN""), """")"),"5")</f>
        <v>5</v>
      </c>
      <c r="J129" s="5" t="str">
        <f>IFERROR(__xludf.DUMMYFUNCTION("IF(W129&lt;&gt;"""", GOOGLETRANSLATE(W129, ""RO"", ""EN""), """")"),"6")</f>
        <v>6</v>
      </c>
      <c r="K129" s="5" t="str">
        <f>IFERROR(__xludf.DUMMYFUNCTION("IF(X129&lt;&gt;"""", GOOGLETRANSLATE(X129, ""RO"", ""EN""), """")"),"7")</f>
        <v>7</v>
      </c>
      <c r="L129" s="5" t="str">
        <f>IFERROR(__xludf.DUMMYFUNCTION("IF(S129&lt;&gt;"""", GOOGLETRANSLATE(S129, ""RO"", ""EN""), """")"),"8")</f>
        <v>8</v>
      </c>
      <c r="M129" s="5" t="str">
        <f>IFERROR(__xludf.DUMMYFUNCTION("IF(T129&lt;&gt;"""", GOOGLETRANSLATE(T129, ""RO"", ""EN""), """")"),"9")</f>
        <v>9</v>
      </c>
      <c r="N129" s="5" t="str">
        <f>IFERROR(__xludf.DUMMYFUNCTION("IF(Y129&lt;&gt;"""", GOOGLETRANSLATE(Y129, ""RO"", ""EN""), """")"),"Sure he becomes president")</f>
        <v>Sure he becomes president</v>
      </c>
      <c r="O129" s="4" t="s">
        <v>419</v>
      </c>
      <c r="P129" s="4" t="s">
        <v>168</v>
      </c>
      <c r="Q129" s="4" t="s">
        <v>169</v>
      </c>
      <c r="R129" s="4" t="s">
        <v>170</v>
      </c>
      <c r="S129" s="4" t="s">
        <v>171</v>
      </c>
      <c r="T129" s="4" t="s">
        <v>172</v>
      </c>
      <c r="U129" s="4" t="s">
        <v>173</v>
      </c>
      <c r="V129" s="4" t="s">
        <v>174</v>
      </c>
      <c r="W129" s="4" t="s">
        <v>175</v>
      </c>
      <c r="X129" s="4" t="s">
        <v>176</v>
      </c>
      <c r="Y129" s="4" t="s">
        <v>420</v>
      </c>
      <c r="Z129" s="4" t="s">
        <v>421</v>
      </c>
      <c r="AA129" s="4" t="s">
        <v>103</v>
      </c>
      <c r="AB129" s="4" t="s">
        <v>104</v>
      </c>
    </row>
    <row r="130" ht="15.75" customHeight="1">
      <c r="A130" s="4" t="s">
        <v>427</v>
      </c>
      <c r="B130" s="4" t="s">
        <v>428</v>
      </c>
      <c r="C130" s="4" t="str">
        <f>IFERROR(__xludf.DUMMYFUNCTION("GOOGLETRANSLATE(B130, ""RO"", ""EN"")"),"Ever made you ... feel anger? How often? Mircea Geoana")</f>
        <v>Ever made you ... feel anger? How often? Mircea Geoana</v>
      </c>
      <c r="D130" s="5" t="str">
        <f>IFERROR(__xludf.DUMMYFUNCTION("IF(O130&lt;&gt;"""", GOOGLETRANSLATE(O130, ""RO"", ""EN""), """")"),"")</f>
        <v/>
      </c>
      <c r="E130" s="6" t="str">
        <f>IFERROR(__xludf.DUMMYFUNCTION("IF(P130&lt;&gt;"""", GOOGLETRANSLATE(P130, ""RO"", ""EN""), """")"),"Yes very often")</f>
        <v>Yes very often</v>
      </c>
      <c r="F130" s="5" t="str">
        <f>IFERROR(__xludf.DUMMYFUNCTION("IF(Q130&lt;&gt;"""", GOOGLETRANSLATE(Q130, ""RO"", ""EN""), """")"),"Yes often")</f>
        <v>Yes often</v>
      </c>
      <c r="G130" s="5" t="str">
        <f>IFERROR(__xludf.DUMMYFUNCTION("IF(R130&lt;&gt;"""", GOOGLETRANSLATE(R130, ""RO"", ""EN""), """")"),"Yes rarely")</f>
        <v>Yes rarely</v>
      </c>
      <c r="H130" s="5" t="str">
        <f>IFERROR(__xludf.DUMMYFUNCTION("IF(U130&lt;&gt;"""", GOOGLETRANSLATE(U130, ""RO"", ""EN""), """")"),"Give very rarely")</f>
        <v>Give very rarely</v>
      </c>
      <c r="I130" s="5" t="str">
        <f>IFERROR(__xludf.DUMMYFUNCTION("IF(V130&lt;&gt;"""", GOOGLETRANSLATE(V130, ""RO"", ""EN""), """")"),"NOT")</f>
        <v>NOT</v>
      </c>
      <c r="J130" s="5" t="str">
        <f>IFERROR(__xludf.DUMMYFUNCTION("IF(W130&lt;&gt;"""", GOOGLETRANSLATE(W130, ""RO"", ""EN""), """")"),"")</f>
        <v/>
      </c>
      <c r="K130" s="5" t="str">
        <f>IFERROR(__xludf.DUMMYFUNCTION("IF(X130&lt;&gt;"""", GOOGLETRANSLATE(X130, ""RO"", ""EN""), """")"),"Nc")</f>
        <v>Nc</v>
      </c>
      <c r="L130" s="5" t="str">
        <f>IFERROR(__xludf.DUMMYFUNCTION("IF(S130&lt;&gt;"""", GOOGLETRANSLATE(S130, ""RO"", ""EN""), """")"),"Ns")</f>
        <v>Ns</v>
      </c>
      <c r="M130" s="5" t="str">
        <f>IFERROR(__xludf.DUMMYFUNCTION("IF(T130&lt;&gt;"""", GOOGLETRANSLATE(T130, ""RO"", ""EN""), """")"),"No.")</f>
        <v>No.</v>
      </c>
      <c r="N130" s="5" t="str">
        <f>IFERROR(__xludf.DUMMYFUNCTION("IF(Y130&lt;&gt;"""", GOOGLETRANSLATE(Y130, ""RO"", ""EN""), """")"),"")</f>
        <v/>
      </c>
      <c r="P130" s="4" t="s">
        <v>429</v>
      </c>
      <c r="Q130" s="4" t="s">
        <v>430</v>
      </c>
      <c r="R130" s="4" t="s">
        <v>431</v>
      </c>
      <c r="S130" s="4" t="s">
        <v>103</v>
      </c>
      <c r="T130" s="4" t="s">
        <v>104</v>
      </c>
      <c r="U130" s="4" t="s">
        <v>432</v>
      </c>
      <c r="V130" s="4" t="s">
        <v>433</v>
      </c>
      <c r="X130" s="4" t="s">
        <v>177</v>
      </c>
    </row>
    <row r="131" ht="15.75" customHeight="1">
      <c r="A131" s="4" t="s">
        <v>434</v>
      </c>
      <c r="B131" s="4" t="s">
        <v>435</v>
      </c>
      <c r="C131" s="4" t="str">
        <f>IFERROR(__xludf.DUMMYFUNCTION("GOOGLETRANSLATE(B131, ""RO"", ""EN"")"),"Ever made you ... feel anger? How often? Crin Antonescu")</f>
        <v>Ever made you ... feel anger? How often? Crin Antonescu</v>
      </c>
      <c r="D131" s="5" t="str">
        <f>IFERROR(__xludf.DUMMYFUNCTION("IF(O131&lt;&gt;"""", GOOGLETRANSLATE(O131, ""RO"", ""EN""), """")"),"")</f>
        <v/>
      </c>
      <c r="E131" s="6" t="str">
        <f>IFERROR(__xludf.DUMMYFUNCTION("IF(P131&lt;&gt;"""", GOOGLETRANSLATE(P131, ""RO"", ""EN""), """")"),"Yes very often")</f>
        <v>Yes very often</v>
      </c>
      <c r="F131" s="5" t="str">
        <f>IFERROR(__xludf.DUMMYFUNCTION("IF(Q131&lt;&gt;"""", GOOGLETRANSLATE(Q131, ""RO"", ""EN""), """")"),"Yes often")</f>
        <v>Yes often</v>
      </c>
      <c r="G131" s="5" t="str">
        <f>IFERROR(__xludf.DUMMYFUNCTION("IF(R131&lt;&gt;"""", GOOGLETRANSLATE(R131, ""RO"", ""EN""), """")"),"Yes rarely")</f>
        <v>Yes rarely</v>
      </c>
      <c r="H131" s="5" t="str">
        <f>IFERROR(__xludf.DUMMYFUNCTION("IF(U131&lt;&gt;"""", GOOGLETRANSLATE(U131, ""RO"", ""EN""), """")"),"Give very rarely")</f>
        <v>Give very rarely</v>
      </c>
      <c r="I131" s="5" t="str">
        <f>IFERROR(__xludf.DUMMYFUNCTION("IF(V131&lt;&gt;"""", GOOGLETRANSLATE(V131, ""RO"", ""EN""), """")"),"NOT")</f>
        <v>NOT</v>
      </c>
      <c r="J131" s="5" t="str">
        <f>IFERROR(__xludf.DUMMYFUNCTION("IF(W131&lt;&gt;"""", GOOGLETRANSLATE(W131, ""RO"", ""EN""), """")"),"")</f>
        <v/>
      </c>
      <c r="K131" s="5" t="str">
        <f>IFERROR(__xludf.DUMMYFUNCTION("IF(X131&lt;&gt;"""", GOOGLETRANSLATE(X131, ""RO"", ""EN""), """")"),"Nc")</f>
        <v>Nc</v>
      </c>
      <c r="L131" s="5" t="str">
        <f>IFERROR(__xludf.DUMMYFUNCTION("IF(S131&lt;&gt;"""", GOOGLETRANSLATE(S131, ""RO"", ""EN""), """")"),"Ns")</f>
        <v>Ns</v>
      </c>
      <c r="M131" s="5" t="str">
        <f>IFERROR(__xludf.DUMMYFUNCTION("IF(T131&lt;&gt;"""", GOOGLETRANSLATE(T131, ""RO"", ""EN""), """")"),"No.")</f>
        <v>No.</v>
      </c>
      <c r="N131" s="5" t="str">
        <f>IFERROR(__xludf.DUMMYFUNCTION("IF(Y131&lt;&gt;"""", GOOGLETRANSLATE(Y131, ""RO"", ""EN""), """")"),"")</f>
        <v/>
      </c>
      <c r="P131" s="4" t="s">
        <v>429</v>
      </c>
      <c r="Q131" s="4" t="s">
        <v>430</v>
      </c>
      <c r="R131" s="4" t="s">
        <v>431</v>
      </c>
      <c r="S131" s="4" t="s">
        <v>103</v>
      </c>
      <c r="T131" s="4" t="s">
        <v>104</v>
      </c>
      <c r="U131" s="4" t="s">
        <v>432</v>
      </c>
      <c r="V131" s="4" t="s">
        <v>433</v>
      </c>
      <c r="X131" s="4" t="s">
        <v>177</v>
      </c>
    </row>
    <row r="132" ht="15.75" customHeight="1">
      <c r="A132" s="4" t="s">
        <v>436</v>
      </c>
      <c r="B132" s="4" t="s">
        <v>437</v>
      </c>
      <c r="C132" s="4" t="str">
        <f>IFERROR(__xludf.DUMMYFUNCTION("GOOGLETRANSLATE(B132, ""RO"", ""EN"")"),"Ever made you ... feel anger? How often? Traian Basescu")</f>
        <v>Ever made you ... feel anger? How often? Traian Basescu</v>
      </c>
      <c r="D132" s="5" t="str">
        <f>IFERROR(__xludf.DUMMYFUNCTION("IF(O132&lt;&gt;"""", GOOGLETRANSLATE(O132, ""RO"", ""EN""), """")"),"")</f>
        <v/>
      </c>
      <c r="E132" s="6" t="str">
        <f>IFERROR(__xludf.DUMMYFUNCTION("IF(P132&lt;&gt;"""", GOOGLETRANSLATE(P132, ""RO"", ""EN""), """")"),"Yes very often")</f>
        <v>Yes very often</v>
      </c>
      <c r="F132" s="5" t="str">
        <f>IFERROR(__xludf.DUMMYFUNCTION("IF(Q132&lt;&gt;"""", GOOGLETRANSLATE(Q132, ""RO"", ""EN""), """")"),"Yes often")</f>
        <v>Yes often</v>
      </c>
      <c r="G132" s="5" t="str">
        <f>IFERROR(__xludf.DUMMYFUNCTION("IF(R132&lt;&gt;"""", GOOGLETRANSLATE(R132, ""RO"", ""EN""), """")"),"Yes rarely")</f>
        <v>Yes rarely</v>
      </c>
      <c r="H132" s="5" t="str">
        <f>IFERROR(__xludf.DUMMYFUNCTION("IF(U132&lt;&gt;"""", GOOGLETRANSLATE(U132, ""RO"", ""EN""), """")"),"Give very rarely")</f>
        <v>Give very rarely</v>
      </c>
      <c r="I132" s="5" t="str">
        <f>IFERROR(__xludf.DUMMYFUNCTION("IF(V132&lt;&gt;"""", GOOGLETRANSLATE(V132, ""RO"", ""EN""), """")"),"NOT")</f>
        <v>NOT</v>
      </c>
      <c r="J132" s="5" t="str">
        <f>IFERROR(__xludf.DUMMYFUNCTION("IF(W132&lt;&gt;"""", GOOGLETRANSLATE(W132, ""RO"", ""EN""), """")"),"")</f>
        <v/>
      </c>
      <c r="K132" s="5" t="str">
        <f>IFERROR(__xludf.DUMMYFUNCTION("IF(X132&lt;&gt;"""", GOOGLETRANSLATE(X132, ""RO"", ""EN""), """")"),"Nc")</f>
        <v>Nc</v>
      </c>
      <c r="L132" s="5" t="str">
        <f>IFERROR(__xludf.DUMMYFUNCTION("IF(S132&lt;&gt;"""", GOOGLETRANSLATE(S132, ""RO"", ""EN""), """")"),"Ns")</f>
        <v>Ns</v>
      </c>
      <c r="M132" s="5" t="str">
        <f>IFERROR(__xludf.DUMMYFUNCTION("IF(T132&lt;&gt;"""", GOOGLETRANSLATE(T132, ""RO"", ""EN""), """")"),"No.")</f>
        <v>No.</v>
      </c>
      <c r="N132" s="5" t="str">
        <f>IFERROR(__xludf.DUMMYFUNCTION("IF(Y132&lt;&gt;"""", GOOGLETRANSLATE(Y132, ""RO"", ""EN""), """")"),"")</f>
        <v/>
      </c>
      <c r="P132" s="4" t="s">
        <v>429</v>
      </c>
      <c r="Q132" s="4" t="s">
        <v>430</v>
      </c>
      <c r="R132" s="4" t="s">
        <v>431</v>
      </c>
      <c r="S132" s="4" t="s">
        <v>103</v>
      </c>
      <c r="T132" s="4" t="s">
        <v>104</v>
      </c>
      <c r="U132" s="4" t="s">
        <v>432</v>
      </c>
      <c r="V132" s="4" t="s">
        <v>433</v>
      </c>
      <c r="X132" s="4" t="s">
        <v>177</v>
      </c>
    </row>
    <row r="133" ht="15.75" customHeight="1">
      <c r="A133" s="4" t="s">
        <v>438</v>
      </c>
      <c r="B133" s="4" t="s">
        <v>439</v>
      </c>
      <c r="C133" s="4" t="str">
        <f>IFERROR(__xludf.DUMMYFUNCTION("GOOGLETRANSLATE(B133, ""RO"", ""EN"")"),"Ever made you ... feel anger? How often? Any other candidate")</f>
        <v>Ever made you ... feel anger? How often? Any other candidate</v>
      </c>
      <c r="D133" s="5" t="str">
        <f>IFERROR(__xludf.DUMMYFUNCTION("IF(O133&lt;&gt;"""", GOOGLETRANSLATE(O133, ""RO"", ""EN""), """")"),"")</f>
        <v/>
      </c>
      <c r="E133" s="6" t="str">
        <f>IFERROR(__xludf.DUMMYFUNCTION("IF(P133&lt;&gt;"""", GOOGLETRANSLATE(P133, ""RO"", ""EN""), """")"),"Yes very often")</f>
        <v>Yes very often</v>
      </c>
      <c r="F133" s="5" t="str">
        <f>IFERROR(__xludf.DUMMYFUNCTION("IF(Q133&lt;&gt;"""", GOOGLETRANSLATE(Q133, ""RO"", ""EN""), """")"),"Yes often")</f>
        <v>Yes often</v>
      </c>
      <c r="G133" s="5" t="str">
        <f>IFERROR(__xludf.DUMMYFUNCTION("IF(R133&lt;&gt;"""", GOOGLETRANSLATE(R133, ""RO"", ""EN""), """")"),"Yes rarely")</f>
        <v>Yes rarely</v>
      </c>
      <c r="H133" s="5" t="str">
        <f>IFERROR(__xludf.DUMMYFUNCTION("IF(U133&lt;&gt;"""", GOOGLETRANSLATE(U133, ""RO"", ""EN""), """")"),"Give very rarely")</f>
        <v>Give very rarely</v>
      </c>
      <c r="I133" s="5" t="str">
        <f>IFERROR(__xludf.DUMMYFUNCTION("IF(V133&lt;&gt;"""", GOOGLETRANSLATE(V133, ""RO"", ""EN""), """")"),"NOT")</f>
        <v>NOT</v>
      </c>
      <c r="J133" s="5" t="str">
        <f>IFERROR(__xludf.DUMMYFUNCTION("IF(W133&lt;&gt;"""", GOOGLETRANSLATE(W133, ""RO"", ""EN""), """")"),"")</f>
        <v/>
      </c>
      <c r="K133" s="5" t="str">
        <f>IFERROR(__xludf.DUMMYFUNCTION("IF(X133&lt;&gt;"""", GOOGLETRANSLATE(X133, ""RO"", ""EN""), """")"),"Nc")</f>
        <v>Nc</v>
      </c>
      <c r="L133" s="5" t="str">
        <f>IFERROR(__xludf.DUMMYFUNCTION("IF(S133&lt;&gt;"""", GOOGLETRANSLATE(S133, ""RO"", ""EN""), """")"),"Ns")</f>
        <v>Ns</v>
      </c>
      <c r="M133" s="5" t="str">
        <f>IFERROR(__xludf.DUMMYFUNCTION("IF(T133&lt;&gt;"""", GOOGLETRANSLATE(T133, ""RO"", ""EN""), """")"),"No.")</f>
        <v>No.</v>
      </c>
      <c r="N133" s="5" t="str">
        <f>IFERROR(__xludf.DUMMYFUNCTION("IF(Y133&lt;&gt;"""", GOOGLETRANSLATE(Y133, ""RO"", ""EN""), """")"),"")</f>
        <v/>
      </c>
      <c r="P133" s="4" t="s">
        <v>429</v>
      </c>
      <c r="Q133" s="4" t="s">
        <v>430</v>
      </c>
      <c r="R133" s="4" t="s">
        <v>431</v>
      </c>
      <c r="S133" s="4" t="s">
        <v>103</v>
      </c>
      <c r="T133" s="4" t="s">
        <v>104</v>
      </c>
      <c r="U133" s="4" t="s">
        <v>432</v>
      </c>
      <c r="V133" s="4" t="s">
        <v>433</v>
      </c>
      <c r="X133" s="4" t="s">
        <v>177</v>
      </c>
    </row>
    <row r="134" ht="15.75" customHeight="1">
      <c r="A134" s="4" t="s">
        <v>440</v>
      </c>
      <c r="B134" s="4" t="s">
        <v>441</v>
      </c>
      <c r="C134" s="4" t="str">
        <f>IFERROR(__xludf.DUMMYFUNCTION("GOOGLETRANSLATE(B134, ""RO"", ""EN"")"),"Ever made you ... to feel hope? How often? Mircea Geoana")</f>
        <v>Ever made you ... to feel hope? How often? Mircea Geoana</v>
      </c>
      <c r="D134" s="5" t="str">
        <f>IFERROR(__xludf.DUMMYFUNCTION("IF(O134&lt;&gt;"""", GOOGLETRANSLATE(O134, ""RO"", ""EN""), """")"),"")</f>
        <v/>
      </c>
      <c r="E134" s="6" t="str">
        <f>IFERROR(__xludf.DUMMYFUNCTION("IF(P134&lt;&gt;"""", GOOGLETRANSLATE(P134, ""RO"", ""EN""), """")"),"Yes very often")</f>
        <v>Yes very often</v>
      </c>
      <c r="F134" s="5" t="str">
        <f>IFERROR(__xludf.DUMMYFUNCTION("IF(Q134&lt;&gt;"""", GOOGLETRANSLATE(Q134, ""RO"", ""EN""), """")"),"Yes often")</f>
        <v>Yes often</v>
      </c>
      <c r="G134" s="5" t="str">
        <f>IFERROR(__xludf.DUMMYFUNCTION("IF(R134&lt;&gt;"""", GOOGLETRANSLATE(R134, ""RO"", ""EN""), """")"),"Yes rarely")</f>
        <v>Yes rarely</v>
      </c>
      <c r="H134" s="5" t="str">
        <f>IFERROR(__xludf.DUMMYFUNCTION("IF(U134&lt;&gt;"""", GOOGLETRANSLATE(U134, ""RO"", ""EN""), """")"),"Give very rarely")</f>
        <v>Give very rarely</v>
      </c>
      <c r="I134" s="5" t="str">
        <f>IFERROR(__xludf.DUMMYFUNCTION("IF(V134&lt;&gt;"""", GOOGLETRANSLATE(V134, ""RO"", ""EN""), """")"),"NOT")</f>
        <v>NOT</v>
      </c>
      <c r="J134" s="5" t="str">
        <f>IFERROR(__xludf.DUMMYFUNCTION("IF(W134&lt;&gt;"""", GOOGLETRANSLATE(W134, ""RO"", ""EN""), """")"),"")</f>
        <v/>
      </c>
      <c r="K134" s="5" t="str">
        <f>IFERROR(__xludf.DUMMYFUNCTION("IF(X134&lt;&gt;"""", GOOGLETRANSLATE(X134, ""RO"", ""EN""), """")"),"Nc")</f>
        <v>Nc</v>
      </c>
      <c r="L134" s="5" t="str">
        <f>IFERROR(__xludf.DUMMYFUNCTION("IF(S134&lt;&gt;"""", GOOGLETRANSLATE(S134, ""RO"", ""EN""), """")"),"Ns")</f>
        <v>Ns</v>
      </c>
      <c r="M134" s="5" t="str">
        <f>IFERROR(__xludf.DUMMYFUNCTION("IF(T134&lt;&gt;"""", GOOGLETRANSLATE(T134, ""RO"", ""EN""), """")"),"No.")</f>
        <v>No.</v>
      </c>
      <c r="N134" s="5" t="str">
        <f>IFERROR(__xludf.DUMMYFUNCTION("IF(Y134&lt;&gt;"""", GOOGLETRANSLATE(Y134, ""RO"", ""EN""), """")"),"")</f>
        <v/>
      </c>
      <c r="P134" s="4" t="s">
        <v>429</v>
      </c>
      <c r="Q134" s="4" t="s">
        <v>430</v>
      </c>
      <c r="R134" s="4" t="s">
        <v>431</v>
      </c>
      <c r="S134" s="4" t="s">
        <v>103</v>
      </c>
      <c r="T134" s="4" t="s">
        <v>104</v>
      </c>
      <c r="U134" s="4" t="s">
        <v>432</v>
      </c>
      <c r="V134" s="4" t="s">
        <v>433</v>
      </c>
      <c r="X134" s="4" t="s">
        <v>177</v>
      </c>
    </row>
    <row r="135" ht="15.75" customHeight="1">
      <c r="A135" s="4" t="s">
        <v>442</v>
      </c>
      <c r="B135" s="4" t="s">
        <v>443</v>
      </c>
      <c r="C135" s="4" t="str">
        <f>IFERROR(__xludf.DUMMYFUNCTION("GOOGLETRANSLATE(B135, ""RO"", ""EN"")"),"Ever made you ... to feel hope? How often? Crin Antonescu")</f>
        <v>Ever made you ... to feel hope? How often? Crin Antonescu</v>
      </c>
      <c r="D135" s="5" t="str">
        <f>IFERROR(__xludf.DUMMYFUNCTION("IF(O135&lt;&gt;"""", GOOGLETRANSLATE(O135, ""RO"", ""EN""), """")"),"")</f>
        <v/>
      </c>
      <c r="E135" s="6" t="str">
        <f>IFERROR(__xludf.DUMMYFUNCTION("IF(P135&lt;&gt;"""", GOOGLETRANSLATE(P135, ""RO"", ""EN""), """")"),"Yes very often")</f>
        <v>Yes very often</v>
      </c>
      <c r="F135" s="5" t="str">
        <f>IFERROR(__xludf.DUMMYFUNCTION("IF(Q135&lt;&gt;"""", GOOGLETRANSLATE(Q135, ""RO"", ""EN""), """")"),"Yes often")</f>
        <v>Yes often</v>
      </c>
      <c r="G135" s="5" t="str">
        <f>IFERROR(__xludf.DUMMYFUNCTION("IF(R135&lt;&gt;"""", GOOGLETRANSLATE(R135, ""RO"", ""EN""), """")"),"Yes rarely")</f>
        <v>Yes rarely</v>
      </c>
      <c r="H135" s="5" t="str">
        <f>IFERROR(__xludf.DUMMYFUNCTION("IF(U135&lt;&gt;"""", GOOGLETRANSLATE(U135, ""RO"", ""EN""), """")"),"Give very rarely")</f>
        <v>Give very rarely</v>
      </c>
      <c r="I135" s="5" t="str">
        <f>IFERROR(__xludf.DUMMYFUNCTION("IF(V135&lt;&gt;"""", GOOGLETRANSLATE(V135, ""RO"", ""EN""), """")"),"NOT")</f>
        <v>NOT</v>
      </c>
      <c r="J135" s="5" t="str">
        <f>IFERROR(__xludf.DUMMYFUNCTION("IF(W135&lt;&gt;"""", GOOGLETRANSLATE(W135, ""RO"", ""EN""), """")"),"")</f>
        <v/>
      </c>
      <c r="K135" s="5" t="str">
        <f>IFERROR(__xludf.DUMMYFUNCTION("IF(X135&lt;&gt;"""", GOOGLETRANSLATE(X135, ""RO"", ""EN""), """")"),"Nc")</f>
        <v>Nc</v>
      </c>
      <c r="L135" s="5" t="str">
        <f>IFERROR(__xludf.DUMMYFUNCTION("IF(S135&lt;&gt;"""", GOOGLETRANSLATE(S135, ""RO"", ""EN""), """")"),"Ns")</f>
        <v>Ns</v>
      </c>
      <c r="M135" s="5" t="str">
        <f>IFERROR(__xludf.DUMMYFUNCTION("IF(T135&lt;&gt;"""", GOOGLETRANSLATE(T135, ""RO"", ""EN""), """")"),"No.")</f>
        <v>No.</v>
      </c>
      <c r="N135" s="5" t="str">
        <f>IFERROR(__xludf.DUMMYFUNCTION("IF(Y135&lt;&gt;"""", GOOGLETRANSLATE(Y135, ""RO"", ""EN""), """")"),"")</f>
        <v/>
      </c>
      <c r="P135" s="4" t="s">
        <v>429</v>
      </c>
      <c r="Q135" s="4" t="s">
        <v>430</v>
      </c>
      <c r="R135" s="4" t="s">
        <v>431</v>
      </c>
      <c r="S135" s="4" t="s">
        <v>103</v>
      </c>
      <c r="T135" s="4" t="s">
        <v>104</v>
      </c>
      <c r="U135" s="4" t="s">
        <v>432</v>
      </c>
      <c r="V135" s="4" t="s">
        <v>433</v>
      </c>
      <c r="X135" s="4" t="s">
        <v>177</v>
      </c>
    </row>
    <row r="136" ht="15.75" customHeight="1">
      <c r="A136" s="4" t="s">
        <v>444</v>
      </c>
      <c r="B136" s="4" t="s">
        <v>445</v>
      </c>
      <c r="C136" s="4" t="str">
        <f>IFERROR(__xludf.DUMMYFUNCTION("GOOGLETRANSLATE(B136, ""RO"", ""EN"")"),"Ever made you ... to feel hope? How often? Traian Basescu")</f>
        <v>Ever made you ... to feel hope? How often? Traian Basescu</v>
      </c>
      <c r="D136" s="5" t="str">
        <f>IFERROR(__xludf.DUMMYFUNCTION("IF(O136&lt;&gt;"""", GOOGLETRANSLATE(O136, ""RO"", ""EN""), """")"),"")</f>
        <v/>
      </c>
      <c r="E136" s="6" t="str">
        <f>IFERROR(__xludf.DUMMYFUNCTION("IF(P136&lt;&gt;"""", GOOGLETRANSLATE(P136, ""RO"", ""EN""), """")"),"Yes very often")</f>
        <v>Yes very often</v>
      </c>
      <c r="F136" s="5" t="str">
        <f>IFERROR(__xludf.DUMMYFUNCTION("IF(Q136&lt;&gt;"""", GOOGLETRANSLATE(Q136, ""RO"", ""EN""), """")"),"Yes often")</f>
        <v>Yes often</v>
      </c>
      <c r="G136" s="5" t="str">
        <f>IFERROR(__xludf.DUMMYFUNCTION("IF(R136&lt;&gt;"""", GOOGLETRANSLATE(R136, ""RO"", ""EN""), """")"),"Yes rarely")</f>
        <v>Yes rarely</v>
      </c>
      <c r="H136" s="5" t="str">
        <f>IFERROR(__xludf.DUMMYFUNCTION("IF(U136&lt;&gt;"""", GOOGLETRANSLATE(U136, ""RO"", ""EN""), """")"),"Give very rarely")</f>
        <v>Give very rarely</v>
      </c>
      <c r="I136" s="5" t="str">
        <f>IFERROR(__xludf.DUMMYFUNCTION("IF(V136&lt;&gt;"""", GOOGLETRANSLATE(V136, ""RO"", ""EN""), """")"),"NOT")</f>
        <v>NOT</v>
      </c>
      <c r="J136" s="5" t="str">
        <f>IFERROR(__xludf.DUMMYFUNCTION("IF(W136&lt;&gt;"""", GOOGLETRANSLATE(W136, ""RO"", ""EN""), """")"),"")</f>
        <v/>
      </c>
      <c r="K136" s="5" t="str">
        <f>IFERROR(__xludf.DUMMYFUNCTION("IF(X136&lt;&gt;"""", GOOGLETRANSLATE(X136, ""RO"", ""EN""), """")"),"Nc")</f>
        <v>Nc</v>
      </c>
      <c r="L136" s="5" t="str">
        <f>IFERROR(__xludf.DUMMYFUNCTION("IF(S136&lt;&gt;"""", GOOGLETRANSLATE(S136, ""RO"", ""EN""), """")"),"Ns")</f>
        <v>Ns</v>
      </c>
      <c r="M136" s="5" t="str">
        <f>IFERROR(__xludf.DUMMYFUNCTION("IF(T136&lt;&gt;"""", GOOGLETRANSLATE(T136, ""RO"", ""EN""), """")"),"No.")</f>
        <v>No.</v>
      </c>
      <c r="N136" s="5" t="str">
        <f>IFERROR(__xludf.DUMMYFUNCTION("IF(Y136&lt;&gt;"""", GOOGLETRANSLATE(Y136, ""RO"", ""EN""), """")"),"")</f>
        <v/>
      </c>
      <c r="P136" s="4" t="s">
        <v>429</v>
      </c>
      <c r="Q136" s="4" t="s">
        <v>430</v>
      </c>
      <c r="R136" s="4" t="s">
        <v>431</v>
      </c>
      <c r="S136" s="4" t="s">
        <v>103</v>
      </c>
      <c r="T136" s="4" t="s">
        <v>104</v>
      </c>
      <c r="U136" s="4" t="s">
        <v>432</v>
      </c>
      <c r="V136" s="4" t="s">
        <v>433</v>
      </c>
      <c r="X136" s="4" t="s">
        <v>177</v>
      </c>
    </row>
    <row r="137" ht="15.75" customHeight="1">
      <c r="A137" s="4" t="s">
        <v>446</v>
      </c>
      <c r="B137" s="4" t="s">
        <v>447</v>
      </c>
      <c r="C137" s="4" t="str">
        <f>IFERROR(__xludf.DUMMYFUNCTION("GOOGLETRANSLATE(B137, ""RO"", ""EN"")"),"Ever made you ... to feel hope? How often? Any other candidate")</f>
        <v>Ever made you ... to feel hope? How often? Any other candidate</v>
      </c>
      <c r="D137" s="5" t="str">
        <f>IFERROR(__xludf.DUMMYFUNCTION("IF(O137&lt;&gt;"""", GOOGLETRANSLATE(O137, ""RO"", ""EN""), """")"),"")</f>
        <v/>
      </c>
      <c r="E137" s="6" t="str">
        <f>IFERROR(__xludf.DUMMYFUNCTION("IF(P137&lt;&gt;"""", GOOGLETRANSLATE(P137, ""RO"", ""EN""), """")"),"Yes very often")</f>
        <v>Yes very often</v>
      </c>
      <c r="F137" s="5" t="str">
        <f>IFERROR(__xludf.DUMMYFUNCTION("IF(Q137&lt;&gt;"""", GOOGLETRANSLATE(Q137, ""RO"", ""EN""), """")"),"Yes often")</f>
        <v>Yes often</v>
      </c>
      <c r="G137" s="5" t="str">
        <f>IFERROR(__xludf.DUMMYFUNCTION("IF(R137&lt;&gt;"""", GOOGLETRANSLATE(R137, ""RO"", ""EN""), """")"),"Yes rarely")</f>
        <v>Yes rarely</v>
      </c>
      <c r="H137" s="5" t="str">
        <f>IFERROR(__xludf.DUMMYFUNCTION("IF(U137&lt;&gt;"""", GOOGLETRANSLATE(U137, ""RO"", ""EN""), """")"),"Give very rarely")</f>
        <v>Give very rarely</v>
      </c>
      <c r="I137" s="5" t="str">
        <f>IFERROR(__xludf.DUMMYFUNCTION("IF(V137&lt;&gt;"""", GOOGLETRANSLATE(V137, ""RO"", ""EN""), """")"),"NOT")</f>
        <v>NOT</v>
      </c>
      <c r="J137" s="5" t="str">
        <f>IFERROR(__xludf.DUMMYFUNCTION("IF(W137&lt;&gt;"""", GOOGLETRANSLATE(W137, ""RO"", ""EN""), """")"),"")</f>
        <v/>
      </c>
      <c r="K137" s="5" t="str">
        <f>IFERROR(__xludf.DUMMYFUNCTION("IF(X137&lt;&gt;"""", GOOGLETRANSLATE(X137, ""RO"", ""EN""), """")"),"Nc")</f>
        <v>Nc</v>
      </c>
      <c r="L137" s="5" t="str">
        <f>IFERROR(__xludf.DUMMYFUNCTION("IF(S137&lt;&gt;"""", GOOGLETRANSLATE(S137, ""RO"", ""EN""), """")"),"Ns")</f>
        <v>Ns</v>
      </c>
      <c r="M137" s="5" t="str">
        <f>IFERROR(__xludf.DUMMYFUNCTION("IF(T137&lt;&gt;"""", GOOGLETRANSLATE(T137, ""RO"", ""EN""), """")"),"No.")</f>
        <v>No.</v>
      </c>
      <c r="N137" s="5" t="str">
        <f>IFERROR(__xludf.DUMMYFUNCTION("IF(Y137&lt;&gt;"""", GOOGLETRANSLATE(Y137, ""RO"", ""EN""), """")"),"")</f>
        <v/>
      </c>
      <c r="P137" s="4" t="s">
        <v>429</v>
      </c>
      <c r="Q137" s="4" t="s">
        <v>430</v>
      </c>
      <c r="R137" s="4" t="s">
        <v>431</v>
      </c>
      <c r="S137" s="4" t="s">
        <v>103</v>
      </c>
      <c r="T137" s="4" t="s">
        <v>104</v>
      </c>
      <c r="U137" s="4" t="s">
        <v>432</v>
      </c>
      <c r="V137" s="4" t="s">
        <v>433</v>
      </c>
      <c r="X137" s="4" t="s">
        <v>177</v>
      </c>
    </row>
    <row r="138" ht="15.75" customHeight="1">
      <c r="A138" s="4" t="s">
        <v>448</v>
      </c>
      <c r="B138" s="4" t="s">
        <v>449</v>
      </c>
      <c r="C138" s="4" t="str">
        <f>IFERROR(__xludf.DUMMYFUNCTION("GOOGLETRANSLATE(B138, ""RO"", ""EN"")"),"Ever made you ... feel fear? How often? Mircea Geoana")</f>
        <v>Ever made you ... feel fear? How often? Mircea Geoana</v>
      </c>
      <c r="D138" s="5" t="str">
        <f>IFERROR(__xludf.DUMMYFUNCTION("IF(O138&lt;&gt;"""", GOOGLETRANSLATE(O138, ""RO"", ""EN""), """")"),"")</f>
        <v/>
      </c>
      <c r="E138" s="6" t="str">
        <f>IFERROR(__xludf.DUMMYFUNCTION("IF(P138&lt;&gt;"""", GOOGLETRANSLATE(P138, ""RO"", ""EN""), """")"),"Yes very often")</f>
        <v>Yes very often</v>
      </c>
      <c r="F138" s="5" t="str">
        <f>IFERROR(__xludf.DUMMYFUNCTION("IF(Q138&lt;&gt;"""", GOOGLETRANSLATE(Q138, ""RO"", ""EN""), """")"),"Yes often")</f>
        <v>Yes often</v>
      </c>
      <c r="G138" s="5" t="str">
        <f>IFERROR(__xludf.DUMMYFUNCTION("IF(R138&lt;&gt;"""", GOOGLETRANSLATE(R138, ""RO"", ""EN""), """")"),"Yes rarely")</f>
        <v>Yes rarely</v>
      </c>
      <c r="H138" s="5" t="str">
        <f>IFERROR(__xludf.DUMMYFUNCTION("IF(U138&lt;&gt;"""", GOOGLETRANSLATE(U138, ""RO"", ""EN""), """")"),"Give very rarely")</f>
        <v>Give very rarely</v>
      </c>
      <c r="I138" s="5" t="str">
        <f>IFERROR(__xludf.DUMMYFUNCTION("IF(V138&lt;&gt;"""", GOOGLETRANSLATE(V138, ""RO"", ""EN""), """")"),"NOT")</f>
        <v>NOT</v>
      </c>
      <c r="J138" s="5" t="str">
        <f>IFERROR(__xludf.DUMMYFUNCTION("IF(W138&lt;&gt;"""", GOOGLETRANSLATE(W138, ""RO"", ""EN""), """")"),"")</f>
        <v/>
      </c>
      <c r="K138" s="5" t="str">
        <f>IFERROR(__xludf.DUMMYFUNCTION("IF(X138&lt;&gt;"""", GOOGLETRANSLATE(X138, ""RO"", ""EN""), """")"),"Nc")</f>
        <v>Nc</v>
      </c>
      <c r="L138" s="5" t="str">
        <f>IFERROR(__xludf.DUMMYFUNCTION("IF(S138&lt;&gt;"""", GOOGLETRANSLATE(S138, ""RO"", ""EN""), """")"),"Ns")</f>
        <v>Ns</v>
      </c>
      <c r="M138" s="5" t="str">
        <f>IFERROR(__xludf.DUMMYFUNCTION("IF(T138&lt;&gt;"""", GOOGLETRANSLATE(T138, ""RO"", ""EN""), """")"),"No.")</f>
        <v>No.</v>
      </c>
      <c r="N138" s="5" t="str">
        <f>IFERROR(__xludf.DUMMYFUNCTION("IF(Y138&lt;&gt;"""", GOOGLETRANSLATE(Y138, ""RO"", ""EN""), """")"),"")</f>
        <v/>
      </c>
      <c r="P138" s="4" t="s">
        <v>429</v>
      </c>
      <c r="Q138" s="4" t="s">
        <v>430</v>
      </c>
      <c r="R138" s="4" t="s">
        <v>431</v>
      </c>
      <c r="S138" s="4" t="s">
        <v>103</v>
      </c>
      <c r="T138" s="4" t="s">
        <v>104</v>
      </c>
      <c r="U138" s="4" t="s">
        <v>432</v>
      </c>
      <c r="V138" s="4" t="s">
        <v>433</v>
      </c>
      <c r="X138" s="4" t="s">
        <v>177</v>
      </c>
    </row>
    <row r="139" ht="15.75" customHeight="1">
      <c r="A139" s="4" t="s">
        <v>450</v>
      </c>
      <c r="B139" s="4" t="s">
        <v>451</v>
      </c>
      <c r="C139" s="4" t="str">
        <f>IFERROR(__xludf.DUMMYFUNCTION("GOOGLETRANSLATE(B139, ""RO"", ""EN"")"),"Ever made you ... feel fear? How often? Crin Antonescu")</f>
        <v>Ever made you ... feel fear? How often? Crin Antonescu</v>
      </c>
      <c r="D139" s="5" t="str">
        <f>IFERROR(__xludf.DUMMYFUNCTION("IF(O139&lt;&gt;"""", GOOGLETRANSLATE(O139, ""RO"", ""EN""), """")"),"")</f>
        <v/>
      </c>
      <c r="E139" s="6" t="str">
        <f>IFERROR(__xludf.DUMMYFUNCTION("IF(P139&lt;&gt;"""", GOOGLETRANSLATE(P139, ""RO"", ""EN""), """")"),"Yes very often")</f>
        <v>Yes very often</v>
      </c>
      <c r="F139" s="5" t="str">
        <f>IFERROR(__xludf.DUMMYFUNCTION("IF(Q139&lt;&gt;"""", GOOGLETRANSLATE(Q139, ""RO"", ""EN""), """")"),"Yes often")</f>
        <v>Yes often</v>
      </c>
      <c r="G139" s="5" t="str">
        <f>IFERROR(__xludf.DUMMYFUNCTION("IF(R139&lt;&gt;"""", GOOGLETRANSLATE(R139, ""RO"", ""EN""), """")"),"Yes rarely")</f>
        <v>Yes rarely</v>
      </c>
      <c r="H139" s="5" t="str">
        <f>IFERROR(__xludf.DUMMYFUNCTION("IF(U139&lt;&gt;"""", GOOGLETRANSLATE(U139, ""RO"", ""EN""), """")"),"Give very rarely")</f>
        <v>Give very rarely</v>
      </c>
      <c r="I139" s="5" t="str">
        <f>IFERROR(__xludf.DUMMYFUNCTION("IF(V139&lt;&gt;"""", GOOGLETRANSLATE(V139, ""RO"", ""EN""), """")"),"NOT")</f>
        <v>NOT</v>
      </c>
      <c r="J139" s="5" t="str">
        <f>IFERROR(__xludf.DUMMYFUNCTION("IF(W139&lt;&gt;"""", GOOGLETRANSLATE(W139, ""RO"", ""EN""), """")"),"")</f>
        <v/>
      </c>
      <c r="K139" s="5" t="str">
        <f>IFERROR(__xludf.DUMMYFUNCTION("IF(X139&lt;&gt;"""", GOOGLETRANSLATE(X139, ""RO"", ""EN""), """")"),"Nc")</f>
        <v>Nc</v>
      </c>
      <c r="L139" s="5" t="str">
        <f>IFERROR(__xludf.DUMMYFUNCTION("IF(S139&lt;&gt;"""", GOOGLETRANSLATE(S139, ""RO"", ""EN""), """")"),"Ns")</f>
        <v>Ns</v>
      </c>
      <c r="M139" s="5" t="str">
        <f>IFERROR(__xludf.DUMMYFUNCTION("IF(T139&lt;&gt;"""", GOOGLETRANSLATE(T139, ""RO"", ""EN""), """")"),"No.")</f>
        <v>No.</v>
      </c>
      <c r="N139" s="5" t="str">
        <f>IFERROR(__xludf.DUMMYFUNCTION("IF(Y139&lt;&gt;"""", GOOGLETRANSLATE(Y139, ""RO"", ""EN""), """")"),"")</f>
        <v/>
      </c>
      <c r="P139" s="4" t="s">
        <v>429</v>
      </c>
      <c r="Q139" s="4" t="s">
        <v>430</v>
      </c>
      <c r="R139" s="4" t="s">
        <v>431</v>
      </c>
      <c r="S139" s="4" t="s">
        <v>103</v>
      </c>
      <c r="T139" s="4" t="s">
        <v>104</v>
      </c>
      <c r="U139" s="4" t="s">
        <v>432</v>
      </c>
      <c r="V139" s="4" t="s">
        <v>433</v>
      </c>
      <c r="X139" s="4" t="s">
        <v>177</v>
      </c>
    </row>
    <row r="140" ht="15.75" customHeight="1">
      <c r="A140" s="4" t="s">
        <v>452</v>
      </c>
      <c r="B140" s="4" t="s">
        <v>453</v>
      </c>
      <c r="C140" s="4" t="str">
        <f>IFERROR(__xludf.DUMMYFUNCTION("GOOGLETRANSLATE(B140, ""RO"", ""EN"")"),"Ever made you ... feel fear? How often? Traian Basescu")</f>
        <v>Ever made you ... feel fear? How often? Traian Basescu</v>
      </c>
      <c r="D140" s="5" t="str">
        <f>IFERROR(__xludf.DUMMYFUNCTION("IF(O140&lt;&gt;"""", GOOGLETRANSLATE(O140, ""RO"", ""EN""), """")"),"")</f>
        <v/>
      </c>
      <c r="E140" s="6" t="str">
        <f>IFERROR(__xludf.DUMMYFUNCTION("IF(P140&lt;&gt;"""", GOOGLETRANSLATE(P140, ""RO"", ""EN""), """")"),"Yes very often")</f>
        <v>Yes very often</v>
      </c>
      <c r="F140" s="5" t="str">
        <f>IFERROR(__xludf.DUMMYFUNCTION("IF(Q140&lt;&gt;"""", GOOGLETRANSLATE(Q140, ""RO"", ""EN""), """")"),"Yes often")</f>
        <v>Yes often</v>
      </c>
      <c r="G140" s="5" t="str">
        <f>IFERROR(__xludf.DUMMYFUNCTION("IF(R140&lt;&gt;"""", GOOGLETRANSLATE(R140, ""RO"", ""EN""), """")"),"Yes rarely")</f>
        <v>Yes rarely</v>
      </c>
      <c r="H140" s="5" t="str">
        <f>IFERROR(__xludf.DUMMYFUNCTION("IF(U140&lt;&gt;"""", GOOGLETRANSLATE(U140, ""RO"", ""EN""), """")"),"Give very rarely")</f>
        <v>Give very rarely</v>
      </c>
      <c r="I140" s="5" t="str">
        <f>IFERROR(__xludf.DUMMYFUNCTION("IF(V140&lt;&gt;"""", GOOGLETRANSLATE(V140, ""RO"", ""EN""), """")"),"NOT")</f>
        <v>NOT</v>
      </c>
      <c r="J140" s="5" t="str">
        <f>IFERROR(__xludf.DUMMYFUNCTION("IF(W140&lt;&gt;"""", GOOGLETRANSLATE(W140, ""RO"", ""EN""), """")"),"")</f>
        <v/>
      </c>
      <c r="K140" s="5" t="str">
        <f>IFERROR(__xludf.DUMMYFUNCTION("IF(X140&lt;&gt;"""", GOOGLETRANSLATE(X140, ""RO"", ""EN""), """")"),"Nc")</f>
        <v>Nc</v>
      </c>
      <c r="L140" s="5" t="str">
        <f>IFERROR(__xludf.DUMMYFUNCTION("IF(S140&lt;&gt;"""", GOOGLETRANSLATE(S140, ""RO"", ""EN""), """")"),"Ns")</f>
        <v>Ns</v>
      </c>
      <c r="M140" s="5" t="str">
        <f>IFERROR(__xludf.DUMMYFUNCTION("IF(T140&lt;&gt;"""", GOOGLETRANSLATE(T140, ""RO"", ""EN""), """")"),"No.")</f>
        <v>No.</v>
      </c>
      <c r="N140" s="5" t="str">
        <f>IFERROR(__xludf.DUMMYFUNCTION("IF(Y140&lt;&gt;"""", GOOGLETRANSLATE(Y140, ""RO"", ""EN""), """")"),"")</f>
        <v/>
      </c>
      <c r="P140" s="4" t="s">
        <v>429</v>
      </c>
      <c r="Q140" s="4" t="s">
        <v>430</v>
      </c>
      <c r="R140" s="4" t="s">
        <v>431</v>
      </c>
      <c r="S140" s="4" t="s">
        <v>103</v>
      </c>
      <c r="T140" s="4" t="s">
        <v>104</v>
      </c>
      <c r="U140" s="4" t="s">
        <v>432</v>
      </c>
      <c r="V140" s="4" t="s">
        <v>433</v>
      </c>
      <c r="X140" s="4" t="s">
        <v>177</v>
      </c>
    </row>
    <row r="141" ht="15.75" customHeight="1">
      <c r="A141" s="4" t="s">
        <v>454</v>
      </c>
      <c r="B141" s="4" t="s">
        <v>455</v>
      </c>
      <c r="C141" s="4" t="str">
        <f>IFERROR(__xludf.DUMMYFUNCTION("GOOGLETRANSLATE(B141, ""RO"", ""EN"")"),"Ever made you ... feel fear? How often? Any other candidate")</f>
        <v>Ever made you ... feel fear? How often? Any other candidate</v>
      </c>
      <c r="D141" s="5" t="str">
        <f>IFERROR(__xludf.DUMMYFUNCTION("IF(O141&lt;&gt;"""", GOOGLETRANSLATE(O141, ""RO"", ""EN""), """")"),"")</f>
        <v/>
      </c>
      <c r="E141" s="6" t="str">
        <f>IFERROR(__xludf.DUMMYFUNCTION("IF(P141&lt;&gt;"""", GOOGLETRANSLATE(P141, ""RO"", ""EN""), """")"),"Yes very often")</f>
        <v>Yes very often</v>
      </c>
      <c r="F141" s="5" t="str">
        <f>IFERROR(__xludf.DUMMYFUNCTION("IF(Q141&lt;&gt;"""", GOOGLETRANSLATE(Q141, ""RO"", ""EN""), """")"),"Yes often")</f>
        <v>Yes often</v>
      </c>
      <c r="G141" s="5" t="str">
        <f>IFERROR(__xludf.DUMMYFUNCTION("IF(R141&lt;&gt;"""", GOOGLETRANSLATE(R141, ""RO"", ""EN""), """")"),"Yes rarely")</f>
        <v>Yes rarely</v>
      </c>
      <c r="H141" s="5" t="str">
        <f>IFERROR(__xludf.DUMMYFUNCTION("IF(U141&lt;&gt;"""", GOOGLETRANSLATE(U141, ""RO"", ""EN""), """")"),"Give very rarely")</f>
        <v>Give very rarely</v>
      </c>
      <c r="I141" s="5" t="str">
        <f>IFERROR(__xludf.DUMMYFUNCTION("IF(V141&lt;&gt;"""", GOOGLETRANSLATE(V141, ""RO"", ""EN""), """")"),"NOT")</f>
        <v>NOT</v>
      </c>
      <c r="J141" s="5" t="str">
        <f>IFERROR(__xludf.DUMMYFUNCTION("IF(W141&lt;&gt;"""", GOOGLETRANSLATE(W141, ""RO"", ""EN""), """")"),"")</f>
        <v/>
      </c>
      <c r="K141" s="5" t="str">
        <f>IFERROR(__xludf.DUMMYFUNCTION("IF(X141&lt;&gt;"""", GOOGLETRANSLATE(X141, ""RO"", ""EN""), """")"),"Nc")</f>
        <v>Nc</v>
      </c>
      <c r="L141" s="5" t="str">
        <f>IFERROR(__xludf.DUMMYFUNCTION("IF(S141&lt;&gt;"""", GOOGLETRANSLATE(S141, ""RO"", ""EN""), """")"),"Ns")</f>
        <v>Ns</v>
      </c>
      <c r="M141" s="5" t="str">
        <f>IFERROR(__xludf.DUMMYFUNCTION("IF(T141&lt;&gt;"""", GOOGLETRANSLATE(T141, ""RO"", ""EN""), """")"),"No.")</f>
        <v>No.</v>
      </c>
      <c r="N141" s="5" t="str">
        <f>IFERROR(__xludf.DUMMYFUNCTION("IF(Y141&lt;&gt;"""", GOOGLETRANSLATE(Y141, ""RO"", ""EN""), """")"),"")</f>
        <v/>
      </c>
      <c r="P141" s="4" t="s">
        <v>429</v>
      </c>
      <c r="Q141" s="4" t="s">
        <v>430</v>
      </c>
      <c r="R141" s="4" t="s">
        <v>431</v>
      </c>
      <c r="S141" s="4" t="s">
        <v>103</v>
      </c>
      <c r="T141" s="4" t="s">
        <v>104</v>
      </c>
      <c r="U141" s="4" t="s">
        <v>432</v>
      </c>
      <c r="V141" s="4" t="s">
        <v>433</v>
      </c>
      <c r="X141" s="4" t="s">
        <v>177</v>
      </c>
    </row>
    <row r="142" ht="15.75" customHeight="1">
      <c r="A142" s="4" t="s">
        <v>456</v>
      </c>
      <c r="B142" s="4" t="s">
        <v>457</v>
      </c>
      <c r="C142" s="4" t="str">
        <f>IFERROR(__xludf.DUMMYFUNCTION("GOOGLETRANSLATE(B142, ""RO"", ""EN"")"),"Ever made you ... feel pride? How often? Mircea Geoana")</f>
        <v>Ever made you ... feel pride? How often? Mircea Geoana</v>
      </c>
      <c r="D142" s="5" t="str">
        <f>IFERROR(__xludf.DUMMYFUNCTION("IF(O142&lt;&gt;"""", GOOGLETRANSLATE(O142, ""RO"", ""EN""), """")"),"")</f>
        <v/>
      </c>
      <c r="E142" s="6" t="str">
        <f>IFERROR(__xludf.DUMMYFUNCTION("IF(P142&lt;&gt;"""", GOOGLETRANSLATE(P142, ""RO"", ""EN""), """")"),"Yes very often")</f>
        <v>Yes very often</v>
      </c>
      <c r="F142" s="5" t="str">
        <f>IFERROR(__xludf.DUMMYFUNCTION("IF(Q142&lt;&gt;"""", GOOGLETRANSLATE(Q142, ""RO"", ""EN""), """")"),"Yes often")</f>
        <v>Yes often</v>
      </c>
      <c r="G142" s="5" t="str">
        <f>IFERROR(__xludf.DUMMYFUNCTION("IF(R142&lt;&gt;"""", GOOGLETRANSLATE(R142, ""RO"", ""EN""), """")"),"Yes rarely")</f>
        <v>Yes rarely</v>
      </c>
      <c r="H142" s="5" t="str">
        <f>IFERROR(__xludf.DUMMYFUNCTION("IF(U142&lt;&gt;"""", GOOGLETRANSLATE(U142, ""RO"", ""EN""), """")"),"Give very rarely")</f>
        <v>Give very rarely</v>
      </c>
      <c r="I142" s="5" t="str">
        <f>IFERROR(__xludf.DUMMYFUNCTION("IF(V142&lt;&gt;"""", GOOGLETRANSLATE(V142, ""RO"", ""EN""), """")"),"NOT")</f>
        <v>NOT</v>
      </c>
      <c r="J142" s="5" t="str">
        <f>IFERROR(__xludf.DUMMYFUNCTION("IF(W142&lt;&gt;"""", GOOGLETRANSLATE(W142, ""RO"", ""EN""), """")"),"")</f>
        <v/>
      </c>
      <c r="K142" s="5" t="str">
        <f>IFERROR(__xludf.DUMMYFUNCTION("IF(X142&lt;&gt;"""", GOOGLETRANSLATE(X142, ""RO"", ""EN""), """")"),"Nc")</f>
        <v>Nc</v>
      </c>
      <c r="L142" s="5" t="str">
        <f>IFERROR(__xludf.DUMMYFUNCTION("IF(S142&lt;&gt;"""", GOOGLETRANSLATE(S142, ""RO"", ""EN""), """")"),"Ns")</f>
        <v>Ns</v>
      </c>
      <c r="M142" s="5" t="str">
        <f>IFERROR(__xludf.DUMMYFUNCTION("IF(T142&lt;&gt;"""", GOOGLETRANSLATE(T142, ""RO"", ""EN""), """")"),"No.")</f>
        <v>No.</v>
      </c>
      <c r="N142" s="5" t="str">
        <f>IFERROR(__xludf.DUMMYFUNCTION("IF(Y142&lt;&gt;"""", GOOGLETRANSLATE(Y142, ""RO"", ""EN""), """")"),"")</f>
        <v/>
      </c>
      <c r="P142" s="4" t="s">
        <v>429</v>
      </c>
      <c r="Q142" s="4" t="s">
        <v>430</v>
      </c>
      <c r="R142" s="4" t="s">
        <v>431</v>
      </c>
      <c r="S142" s="4" t="s">
        <v>103</v>
      </c>
      <c r="T142" s="4" t="s">
        <v>104</v>
      </c>
      <c r="U142" s="4" t="s">
        <v>432</v>
      </c>
      <c r="V142" s="4" t="s">
        <v>433</v>
      </c>
      <c r="X142" s="4" t="s">
        <v>177</v>
      </c>
    </row>
    <row r="143" ht="15.75" customHeight="1">
      <c r="A143" s="4" t="s">
        <v>458</v>
      </c>
      <c r="B143" s="4" t="s">
        <v>459</v>
      </c>
      <c r="C143" s="4" t="str">
        <f>IFERROR(__xludf.DUMMYFUNCTION("GOOGLETRANSLATE(B143, ""RO"", ""EN"")"),"Ever made you ... feel pride? How often? Crin Antonescu")</f>
        <v>Ever made you ... feel pride? How often? Crin Antonescu</v>
      </c>
      <c r="D143" s="5" t="str">
        <f>IFERROR(__xludf.DUMMYFUNCTION("IF(O143&lt;&gt;"""", GOOGLETRANSLATE(O143, ""RO"", ""EN""), """")"),"")</f>
        <v/>
      </c>
      <c r="E143" s="6" t="str">
        <f>IFERROR(__xludf.DUMMYFUNCTION("IF(P143&lt;&gt;"""", GOOGLETRANSLATE(P143, ""RO"", ""EN""), """")"),"Yes very often")</f>
        <v>Yes very often</v>
      </c>
      <c r="F143" s="5" t="str">
        <f>IFERROR(__xludf.DUMMYFUNCTION("IF(Q143&lt;&gt;"""", GOOGLETRANSLATE(Q143, ""RO"", ""EN""), """")"),"Yes often")</f>
        <v>Yes often</v>
      </c>
      <c r="G143" s="5" t="str">
        <f>IFERROR(__xludf.DUMMYFUNCTION("IF(R143&lt;&gt;"""", GOOGLETRANSLATE(R143, ""RO"", ""EN""), """")"),"Yes rarely")</f>
        <v>Yes rarely</v>
      </c>
      <c r="H143" s="5" t="str">
        <f>IFERROR(__xludf.DUMMYFUNCTION("IF(U143&lt;&gt;"""", GOOGLETRANSLATE(U143, ""RO"", ""EN""), """")"),"Give very rarely")</f>
        <v>Give very rarely</v>
      </c>
      <c r="I143" s="5" t="str">
        <f>IFERROR(__xludf.DUMMYFUNCTION("IF(V143&lt;&gt;"""", GOOGLETRANSLATE(V143, ""RO"", ""EN""), """")"),"NOT")</f>
        <v>NOT</v>
      </c>
      <c r="J143" s="5" t="str">
        <f>IFERROR(__xludf.DUMMYFUNCTION("IF(W143&lt;&gt;"""", GOOGLETRANSLATE(W143, ""RO"", ""EN""), """")"),"")</f>
        <v/>
      </c>
      <c r="K143" s="5" t="str">
        <f>IFERROR(__xludf.DUMMYFUNCTION("IF(X143&lt;&gt;"""", GOOGLETRANSLATE(X143, ""RO"", ""EN""), """")"),"Nc")</f>
        <v>Nc</v>
      </c>
      <c r="L143" s="5" t="str">
        <f>IFERROR(__xludf.DUMMYFUNCTION("IF(S143&lt;&gt;"""", GOOGLETRANSLATE(S143, ""RO"", ""EN""), """")"),"Ns")</f>
        <v>Ns</v>
      </c>
      <c r="M143" s="5" t="str">
        <f>IFERROR(__xludf.DUMMYFUNCTION("IF(T143&lt;&gt;"""", GOOGLETRANSLATE(T143, ""RO"", ""EN""), """")"),"No.")</f>
        <v>No.</v>
      </c>
      <c r="N143" s="5" t="str">
        <f>IFERROR(__xludf.DUMMYFUNCTION("IF(Y143&lt;&gt;"""", GOOGLETRANSLATE(Y143, ""RO"", ""EN""), """")"),"")</f>
        <v/>
      </c>
      <c r="P143" s="4" t="s">
        <v>429</v>
      </c>
      <c r="Q143" s="4" t="s">
        <v>430</v>
      </c>
      <c r="R143" s="4" t="s">
        <v>431</v>
      </c>
      <c r="S143" s="4" t="s">
        <v>103</v>
      </c>
      <c r="T143" s="4" t="s">
        <v>104</v>
      </c>
      <c r="U143" s="4" t="s">
        <v>432</v>
      </c>
      <c r="V143" s="4" t="s">
        <v>433</v>
      </c>
      <c r="X143" s="4" t="s">
        <v>177</v>
      </c>
    </row>
    <row r="144" ht="15.75" customHeight="1">
      <c r="A144" s="4" t="s">
        <v>460</v>
      </c>
      <c r="B144" s="4" t="s">
        <v>461</v>
      </c>
      <c r="C144" s="4" t="str">
        <f>IFERROR(__xludf.DUMMYFUNCTION("GOOGLETRANSLATE(B144, ""RO"", ""EN"")"),"Ever made you ... feel pride? How often? Traian Basescu")</f>
        <v>Ever made you ... feel pride? How often? Traian Basescu</v>
      </c>
      <c r="D144" s="5" t="str">
        <f>IFERROR(__xludf.DUMMYFUNCTION("IF(O144&lt;&gt;"""", GOOGLETRANSLATE(O144, ""RO"", ""EN""), """")"),"")</f>
        <v/>
      </c>
      <c r="E144" s="6" t="str">
        <f>IFERROR(__xludf.DUMMYFUNCTION("IF(P144&lt;&gt;"""", GOOGLETRANSLATE(P144, ""RO"", ""EN""), """")"),"Yes very often")</f>
        <v>Yes very often</v>
      </c>
      <c r="F144" s="5" t="str">
        <f>IFERROR(__xludf.DUMMYFUNCTION("IF(Q144&lt;&gt;"""", GOOGLETRANSLATE(Q144, ""RO"", ""EN""), """")"),"Yes often")</f>
        <v>Yes often</v>
      </c>
      <c r="G144" s="5" t="str">
        <f>IFERROR(__xludf.DUMMYFUNCTION("IF(R144&lt;&gt;"""", GOOGLETRANSLATE(R144, ""RO"", ""EN""), """")"),"Yes rarely")</f>
        <v>Yes rarely</v>
      </c>
      <c r="H144" s="5" t="str">
        <f>IFERROR(__xludf.DUMMYFUNCTION("IF(U144&lt;&gt;"""", GOOGLETRANSLATE(U144, ""RO"", ""EN""), """")"),"Give very rarely")</f>
        <v>Give very rarely</v>
      </c>
      <c r="I144" s="5" t="str">
        <f>IFERROR(__xludf.DUMMYFUNCTION("IF(V144&lt;&gt;"""", GOOGLETRANSLATE(V144, ""RO"", ""EN""), """")"),"NOT")</f>
        <v>NOT</v>
      </c>
      <c r="J144" s="5" t="str">
        <f>IFERROR(__xludf.DUMMYFUNCTION("IF(W144&lt;&gt;"""", GOOGLETRANSLATE(W144, ""RO"", ""EN""), """")"),"")</f>
        <v/>
      </c>
      <c r="K144" s="5" t="str">
        <f>IFERROR(__xludf.DUMMYFUNCTION("IF(X144&lt;&gt;"""", GOOGLETRANSLATE(X144, ""RO"", ""EN""), """")"),"Nc")</f>
        <v>Nc</v>
      </c>
      <c r="L144" s="5" t="str">
        <f>IFERROR(__xludf.DUMMYFUNCTION("IF(S144&lt;&gt;"""", GOOGLETRANSLATE(S144, ""RO"", ""EN""), """")"),"Ns")</f>
        <v>Ns</v>
      </c>
      <c r="M144" s="5" t="str">
        <f>IFERROR(__xludf.DUMMYFUNCTION("IF(T144&lt;&gt;"""", GOOGLETRANSLATE(T144, ""RO"", ""EN""), """")"),"No.")</f>
        <v>No.</v>
      </c>
      <c r="N144" s="5" t="str">
        <f>IFERROR(__xludf.DUMMYFUNCTION("IF(Y144&lt;&gt;"""", GOOGLETRANSLATE(Y144, ""RO"", ""EN""), """")"),"")</f>
        <v/>
      </c>
      <c r="P144" s="4" t="s">
        <v>429</v>
      </c>
      <c r="Q144" s="4" t="s">
        <v>430</v>
      </c>
      <c r="R144" s="4" t="s">
        <v>431</v>
      </c>
      <c r="S144" s="4" t="s">
        <v>103</v>
      </c>
      <c r="T144" s="4" t="s">
        <v>104</v>
      </c>
      <c r="U144" s="4" t="s">
        <v>432</v>
      </c>
      <c r="V144" s="4" t="s">
        <v>433</v>
      </c>
      <c r="X144" s="4" t="s">
        <v>177</v>
      </c>
    </row>
    <row r="145" ht="15.75" customHeight="1">
      <c r="A145" s="4" t="s">
        <v>462</v>
      </c>
      <c r="B145" s="4" t="s">
        <v>463</v>
      </c>
      <c r="C145" s="4" t="str">
        <f>IFERROR(__xludf.DUMMYFUNCTION("GOOGLETRANSLATE(B145, ""RO"", ""EN"")"),"Ever made you ... feel pride? How often? Any other candidate")</f>
        <v>Ever made you ... feel pride? How often? Any other candidate</v>
      </c>
      <c r="D145" s="5" t="str">
        <f>IFERROR(__xludf.DUMMYFUNCTION("IF(O145&lt;&gt;"""", GOOGLETRANSLATE(O145, ""RO"", ""EN""), """")"),"")</f>
        <v/>
      </c>
      <c r="E145" s="6" t="str">
        <f>IFERROR(__xludf.DUMMYFUNCTION("IF(P145&lt;&gt;"""", GOOGLETRANSLATE(P145, ""RO"", ""EN""), """")"),"Yes very often")</f>
        <v>Yes very often</v>
      </c>
      <c r="F145" s="5" t="str">
        <f>IFERROR(__xludf.DUMMYFUNCTION("IF(Q145&lt;&gt;"""", GOOGLETRANSLATE(Q145, ""RO"", ""EN""), """")"),"Yes often")</f>
        <v>Yes often</v>
      </c>
      <c r="G145" s="5" t="str">
        <f>IFERROR(__xludf.DUMMYFUNCTION("IF(R145&lt;&gt;"""", GOOGLETRANSLATE(R145, ""RO"", ""EN""), """")"),"Yes rarely")</f>
        <v>Yes rarely</v>
      </c>
      <c r="H145" s="5" t="str">
        <f>IFERROR(__xludf.DUMMYFUNCTION("IF(U145&lt;&gt;"""", GOOGLETRANSLATE(U145, ""RO"", ""EN""), """")"),"Give very rarely")</f>
        <v>Give very rarely</v>
      </c>
      <c r="I145" s="5" t="str">
        <f>IFERROR(__xludf.DUMMYFUNCTION("IF(V145&lt;&gt;"""", GOOGLETRANSLATE(V145, ""RO"", ""EN""), """")"),"NOT")</f>
        <v>NOT</v>
      </c>
      <c r="J145" s="5" t="str">
        <f>IFERROR(__xludf.DUMMYFUNCTION("IF(W145&lt;&gt;"""", GOOGLETRANSLATE(W145, ""RO"", ""EN""), """")"),"")</f>
        <v/>
      </c>
      <c r="K145" s="5" t="str">
        <f>IFERROR(__xludf.DUMMYFUNCTION("IF(X145&lt;&gt;"""", GOOGLETRANSLATE(X145, ""RO"", ""EN""), """")"),"Nc")</f>
        <v>Nc</v>
      </c>
      <c r="L145" s="5" t="str">
        <f>IFERROR(__xludf.DUMMYFUNCTION("IF(S145&lt;&gt;"""", GOOGLETRANSLATE(S145, ""RO"", ""EN""), """")"),"Ns")</f>
        <v>Ns</v>
      </c>
      <c r="M145" s="5" t="str">
        <f>IFERROR(__xludf.DUMMYFUNCTION("IF(T145&lt;&gt;"""", GOOGLETRANSLATE(T145, ""RO"", ""EN""), """")"),"No.")</f>
        <v>No.</v>
      </c>
      <c r="N145" s="5" t="str">
        <f>IFERROR(__xludf.DUMMYFUNCTION("IF(Y145&lt;&gt;"""", GOOGLETRANSLATE(Y145, ""RO"", ""EN""), """")"),"")</f>
        <v/>
      </c>
      <c r="P145" s="4" t="s">
        <v>429</v>
      </c>
      <c r="Q145" s="4" t="s">
        <v>430</v>
      </c>
      <c r="R145" s="4" t="s">
        <v>431</v>
      </c>
      <c r="S145" s="4" t="s">
        <v>103</v>
      </c>
      <c r="T145" s="4" t="s">
        <v>104</v>
      </c>
      <c r="U145" s="4" t="s">
        <v>432</v>
      </c>
      <c r="V145" s="4" t="s">
        <v>433</v>
      </c>
      <c r="X145" s="4" t="s">
        <v>177</v>
      </c>
    </row>
    <row r="146" ht="15.75" customHeight="1">
      <c r="A146" s="4" t="s">
        <v>464</v>
      </c>
      <c r="B146" s="4" t="s">
        <v>465</v>
      </c>
      <c r="C146" s="4" t="str">
        <f>IFERROR(__xludf.DUMMYFUNCTION("GOOGLETRANSLATE(B146, ""RO"", ""EN"")"),"If ... wins the presidential elections in November, do you think that in the next year Romania will work much better, better, about the same, worse or much worse? Mircea Geoana")</f>
        <v>If ... wins the presidential elections in November, do you think that in the next year Romania will work much better, better, about the same, worse or much worse? Mircea Geoana</v>
      </c>
      <c r="D146" s="5" t="str">
        <f>IFERROR(__xludf.DUMMYFUNCTION("IF(O146&lt;&gt;"""", GOOGLETRANSLATE(O146, ""RO"", ""EN""), """")"),"")</f>
        <v/>
      </c>
      <c r="E146" s="6" t="str">
        <f>IFERROR(__xludf.DUMMYFUNCTION("IF(P146&lt;&gt;"""", GOOGLETRANSLATE(P146, ""RO"", ""EN""), """")"),"Better")</f>
        <v>Better</v>
      </c>
      <c r="F146" s="5" t="str">
        <f>IFERROR(__xludf.DUMMYFUNCTION("IF(Q146&lt;&gt;"""", GOOGLETRANSLATE(Q146, ""RO"", ""EN""), """")"),"Better")</f>
        <v>Better</v>
      </c>
      <c r="G146" s="5" t="str">
        <f>IFERROR(__xludf.DUMMYFUNCTION("IF(R146&lt;&gt;"""", GOOGLETRANSLATE(R146, ""RO"", ""EN""), """")"),"About the same")</f>
        <v>About the same</v>
      </c>
      <c r="H146" s="5" t="str">
        <f>IFERROR(__xludf.DUMMYFUNCTION("IF(U146&lt;&gt;"""", GOOGLETRANSLATE(U146, ""RO"", ""EN""), """")"),"Worse")</f>
        <v>Worse</v>
      </c>
      <c r="I146" s="5" t="str">
        <f>IFERROR(__xludf.DUMMYFUNCTION("IF(V146&lt;&gt;"""", GOOGLETRANSLATE(V146, ""RO"", ""EN""), """")"),"Much worse")</f>
        <v>Much worse</v>
      </c>
      <c r="J146" s="5" t="str">
        <f>IFERROR(__xludf.DUMMYFUNCTION("IF(W146&lt;&gt;"""", GOOGLETRANSLATE(W146, ""RO"", ""EN""), """")"),"")</f>
        <v/>
      </c>
      <c r="K146" s="5" t="str">
        <f>IFERROR(__xludf.DUMMYFUNCTION("IF(X146&lt;&gt;"""", GOOGLETRANSLATE(X146, ""RO"", ""EN""), """")"),"Nc")</f>
        <v>Nc</v>
      </c>
      <c r="L146" s="5" t="str">
        <f>IFERROR(__xludf.DUMMYFUNCTION("IF(S146&lt;&gt;"""", GOOGLETRANSLATE(S146, ""RO"", ""EN""), """")"),"Ns")</f>
        <v>Ns</v>
      </c>
      <c r="M146" s="5" t="str">
        <f>IFERROR(__xludf.DUMMYFUNCTION("IF(T146&lt;&gt;"""", GOOGLETRANSLATE(T146, ""RO"", ""EN""), """")"),"No.")</f>
        <v>No.</v>
      </c>
      <c r="N146" s="5" t="str">
        <f>IFERROR(__xludf.DUMMYFUNCTION("IF(Y146&lt;&gt;"""", GOOGLETRANSLATE(Y146, ""RO"", ""EN""), """")"),"")</f>
        <v/>
      </c>
      <c r="P146" s="4" t="s">
        <v>120</v>
      </c>
      <c r="Q146" s="4" t="s">
        <v>121</v>
      </c>
      <c r="R146" s="4" t="s">
        <v>115</v>
      </c>
      <c r="S146" s="4" t="s">
        <v>103</v>
      </c>
      <c r="T146" s="4" t="s">
        <v>104</v>
      </c>
      <c r="U146" s="4" t="s">
        <v>122</v>
      </c>
      <c r="V146" s="4" t="s">
        <v>123</v>
      </c>
      <c r="X146" s="4" t="s">
        <v>177</v>
      </c>
    </row>
    <row r="147" ht="15.75" customHeight="1">
      <c r="A147" s="4" t="s">
        <v>466</v>
      </c>
      <c r="B147" s="4" t="s">
        <v>220</v>
      </c>
      <c r="C147" s="4" t="str">
        <f>IFERROR(__xludf.DUMMYFUNCTION("GOOGLETRANSLATE(B147, ""RO"", ""EN"")"),"Crin Antonescu")</f>
        <v>Crin Antonescu</v>
      </c>
      <c r="D147" s="5" t="str">
        <f>IFERROR(__xludf.DUMMYFUNCTION("IF(O147&lt;&gt;"""", GOOGLETRANSLATE(O147, ""RO"", ""EN""), """")"),"")</f>
        <v/>
      </c>
      <c r="E147" s="6" t="str">
        <f>IFERROR(__xludf.DUMMYFUNCTION("IF(P147&lt;&gt;"""", GOOGLETRANSLATE(P147, ""RO"", ""EN""), """")"),"Better")</f>
        <v>Better</v>
      </c>
      <c r="F147" s="5" t="str">
        <f>IFERROR(__xludf.DUMMYFUNCTION("IF(Q147&lt;&gt;"""", GOOGLETRANSLATE(Q147, ""RO"", ""EN""), """")"),"Better")</f>
        <v>Better</v>
      </c>
      <c r="G147" s="5" t="str">
        <f>IFERROR(__xludf.DUMMYFUNCTION("IF(R147&lt;&gt;"""", GOOGLETRANSLATE(R147, ""RO"", ""EN""), """")"),"About the same")</f>
        <v>About the same</v>
      </c>
      <c r="H147" s="5" t="str">
        <f>IFERROR(__xludf.DUMMYFUNCTION("IF(U147&lt;&gt;"""", GOOGLETRANSLATE(U147, ""RO"", ""EN""), """")"),"Worse")</f>
        <v>Worse</v>
      </c>
      <c r="I147" s="5" t="str">
        <f>IFERROR(__xludf.DUMMYFUNCTION("IF(V147&lt;&gt;"""", GOOGLETRANSLATE(V147, ""RO"", ""EN""), """")"),"Much worse")</f>
        <v>Much worse</v>
      </c>
      <c r="J147" s="5" t="str">
        <f>IFERROR(__xludf.DUMMYFUNCTION("IF(W147&lt;&gt;"""", GOOGLETRANSLATE(W147, ""RO"", ""EN""), """")"),"")</f>
        <v/>
      </c>
      <c r="K147" s="5" t="str">
        <f>IFERROR(__xludf.DUMMYFUNCTION("IF(X147&lt;&gt;"""", GOOGLETRANSLATE(X147, ""RO"", ""EN""), """")"),"Nc")</f>
        <v>Nc</v>
      </c>
      <c r="L147" s="5" t="str">
        <f>IFERROR(__xludf.DUMMYFUNCTION("IF(S147&lt;&gt;"""", GOOGLETRANSLATE(S147, ""RO"", ""EN""), """")"),"Ns")</f>
        <v>Ns</v>
      </c>
      <c r="M147" s="5" t="str">
        <f>IFERROR(__xludf.DUMMYFUNCTION("IF(T147&lt;&gt;"""", GOOGLETRANSLATE(T147, ""RO"", ""EN""), """")"),"No.")</f>
        <v>No.</v>
      </c>
      <c r="N147" s="5" t="str">
        <f>IFERROR(__xludf.DUMMYFUNCTION("IF(Y147&lt;&gt;"""", GOOGLETRANSLATE(Y147, ""RO"", ""EN""), """")"),"")</f>
        <v/>
      </c>
      <c r="P147" s="4" t="s">
        <v>120</v>
      </c>
      <c r="Q147" s="4" t="s">
        <v>121</v>
      </c>
      <c r="R147" s="4" t="s">
        <v>115</v>
      </c>
      <c r="S147" s="4" t="s">
        <v>103</v>
      </c>
      <c r="T147" s="4" t="s">
        <v>104</v>
      </c>
      <c r="U147" s="4" t="s">
        <v>122</v>
      </c>
      <c r="V147" s="4" t="s">
        <v>123</v>
      </c>
      <c r="X147" s="4" t="s">
        <v>177</v>
      </c>
    </row>
    <row r="148" ht="15.75" customHeight="1">
      <c r="A148" s="4" t="s">
        <v>467</v>
      </c>
      <c r="B148" s="4" t="s">
        <v>221</v>
      </c>
      <c r="C148" s="4" t="str">
        <f>IFERROR(__xludf.DUMMYFUNCTION("GOOGLETRANSLATE(B148, ""RO"", ""EN"")"),"Traian Basescu")</f>
        <v>Traian Basescu</v>
      </c>
      <c r="D148" s="5" t="str">
        <f>IFERROR(__xludf.DUMMYFUNCTION("IF(O148&lt;&gt;"""", GOOGLETRANSLATE(O148, ""RO"", ""EN""), """")"),"")</f>
        <v/>
      </c>
      <c r="E148" s="6" t="str">
        <f>IFERROR(__xludf.DUMMYFUNCTION("IF(P148&lt;&gt;"""", GOOGLETRANSLATE(P148, ""RO"", ""EN""), """")"),"Better")</f>
        <v>Better</v>
      </c>
      <c r="F148" s="5" t="str">
        <f>IFERROR(__xludf.DUMMYFUNCTION("IF(Q148&lt;&gt;"""", GOOGLETRANSLATE(Q148, ""RO"", ""EN""), """")"),"Better")</f>
        <v>Better</v>
      </c>
      <c r="G148" s="5" t="str">
        <f>IFERROR(__xludf.DUMMYFUNCTION("IF(R148&lt;&gt;"""", GOOGLETRANSLATE(R148, ""RO"", ""EN""), """")"),"About the same")</f>
        <v>About the same</v>
      </c>
      <c r="H148" s="5" t="str">
        <f>IFERROR(__xludf.DUMMYFUNCTION("IF(U148&lt;&gt;"""", GOOGLETRANSLATE(U148, ""RO"", ""EN""), """")"),"Worse")</f>
        <v>Worse</v>
      </c>
      <c r="I148" s="5" t="str">
        <f>IFERROR(__xludf.DUMMYFUNCTION("IF(V148&lt;&gt;"""", GOOGLETRANSLATE(V148, ""RO"", ""EN""), """")"),"Much worse")</f>
        <v>Much worse</v>
      </c>
      <c r="J148" s="5" t="str">
        <f>IFERROR(__xludf.DUMMYFUNCTION("IF(W148&lt;&gt;"""", GOOGLETRANSLATE(W148, ""RO"", ""EN""), """")"),"")</f>
        <v/>
      </c>
      <c r="K148" s="5" t="str">
        <f>IFERROR(__xludf.DUMMYFUNCTION("IF(X148&lt;&gt;"""", GOOGLETRANSLATE(X148, ""RO"", ""EN""), """")"),"Nc")</f>
        <v>Nc</v>
      </c>
      <c r="L148" s="5" t="str">
        <f>IFERROR(__xludf.DUMMYFUNCTION("IF(S148&lt;&gt;"""", GOOGLETRANSLATE(S148, ""RO"", ""EN""), """")"),"Ns")</f>
        <v>Ns</v>
      </c>
      <c r="M148" s="5" t="str">
        <f>IFERROR(__xludf.DUMMYFUNCTION("IF(T148&lt;&gt;"""", GOOGLETRANSLATE(T148, ""RO"", ""EN""), """")"),"No.")</f>
        <v>No.</v>
      </c>
      <c r="N148" s="5" t="str">
        <f>IFERROR(__xludf.DUMMYFUNCTION("IF(Y148&lt;&gt;"""", GOOGLETRANSLATE(Y148, ""RO"", ""EN""), """")"),"")</f>
        <v/>
      </c>
      <c r="P148" s="4" t="s">
        <v>120</v>
      </c>
      <c r="Q148" s="4" t="s">
        <v>121</v>
      </c>
      <c r="R148" s="4" t="s">
        <v>115</v>
      </c>
      <c r="S148" s="4" t="s">
        <v>103</v>
      </c>
      <c r="T148" s="4" t="s">
        <v>104</v>
      </c>
      <c r="U148" s="4" t="s">
        <v>122</v>
      </c>
      <c r="V148" s="4" t="s">
        <v>123</v>
      </c>
      <c r="X148" s="4" t="s">
        <v>177</v>
      </c>
    </row>
    <row r="149" ht="15.75" customHeight="1">
      <c r="A149" s="4" t="s">
        <v>468</v>
      </c>
      <c r="B149" s="4" t="s">
        <v>426</v>
      </c>
      <c r="C149" s="4" t="str">
        <f>IFERROR(__xludf.DUMMYFUNCTION("GOOGLETRANSLATE(B149, ""RO"", ""EN"")"),"Any other candidate")</f>
        <v>Any other candidate</v>
      </c>
      <c r="D149" s="5" t="str">
        <f>IFERROR(__xludf.DUMMYFUNCTION("IF(O149&lt;&gt;"""", GOOGLETRANSLATE(O149, ""RO"", ""EN""), """")"),"")</f>
        <v/>
      </c>
      <c r="E149" s="6" t="str">
        <f>IFERROR(__xludf.DUMMYFUNCTION("IF(P149&lt;&gt;"""", GOOGLETRANSLATE(P149, ""RO"", ""EN""), """")"),"Better")</f>
        <v>Better</v>
      </c>
      <c r="F149" s="5" t="str">
        <f>IFERROR(__xludf.DUMMYFUNCTION("IF(Q149&lt;&gt;"""", GOOGLETRANSLATE(Q149, ""RO"", ""EN""), """")"),"Better")</f>
        <v>Better</v>
      </c>
      <c r="G149" s="5" t="str">
        <f>IFERROR(__xludf.DUMMYFUNCTION("IF(R149&lt;&gt;"""", GOOGLETRANSLATE(R149, ""RO"", ""EN""), """")"),"About the same")</f>
        <v>About the same</v>
      </c>
      <c r="H149" s="5" t="str">
        <f>IFERROR(__xludf.DUMMYFUNCTION("IF(U149&lt;&gt;"""", GOOGLETRANSLATE(U149, ""RO"", ""EN""), """")"),"Worse")</f>
        <v>Worse</v>
      </c>
      <c r="I149" s="5" t="str">
        <f>IFERROR(__xludf.DUMMYFUNCTION("IF(V149&lt;&gt;"""", GOOGLETRANSLATE(V149, ""RO"", ""EN""), """")"),"Much worse")</f>
        <v>Much worse</v>
      </c>
      <c r="J149" s="5" t="str">
        <f>IFERROR(__xludf.DUMMYFUNCTION("IF(W149&lt;&gt;"""", GOOGLETRANSLATE(W149, ""RO"", ""EN""), """")"),"")</f>
        <v/>
      </c>
      <c r="K149" s="5" t="str">
        <f>IFERROR(__xludf.DUMMYFUNCTION("IF(X149&lt;&gt;"""", GOOGLETRANSLATE(X149, ""RO"", ""EN""), """")"),"Nc")</f>
        <v>Nc</v>
      </c>
      <c r="L149" s="5" t="str">
        <f>IFERROR(__xludf.DUMMYFUNCTION("IF(S149&lt;&gt;"""", GOOGLETRANSLATE(S149, ""RO"", ""EN""), """")"),"Ns")</f>
        <v>Ns</v>
      </c>
      <c r="M149" s="5" t="str">
        <f>IFERROR(__xludf.DUMMYFUNCTION("IF(T149&lt;&gt;"""", GOOGLETRANSLATE(T149, ""RO"", ""EN""), """")"),"No.")</f>
        <v>No.</v>
      </c>
      <c r="N149" s="5" t="str">
        <f>IFERROR(__xludf.DUMMYFUNCTION("IF(Y149&lt;&gt;"""", GOOGLETRANSLATE(Y149, ""RO"", ""EN""), """")"),"")</f>
        <v/>
      </c>
      <c r="P149" s="4" t="s">
        <v>120</v>
      </c>
      <c r="Q149" s="4" t="s">
        <v>121</v>
      </c>
      <c r="R149" s="4" t="s">
        <v>115</v>
      </c>
      <c r="S149" s="4" t="s">
        <v>103</v>
      </c>
      <c r="T149" s="4" t="s">
        <v>104</v>
      </c>
      <c r="U149" s="4" t="s">
        <v>122</v>
      </c>
      <c r="V149" s="4" t="s">
        <v>123</v>
      </c>
      <c r="X149" s="4" t="s">
        <v>177</v>
      </c>
    </row>
    <row r="150" ht="15.75" customHeight="1">
      <c r="A150" s="4" t="s">
        <v>469</v>
      </c>
      <c r="B150" s="4" t="s">
        <v>470</v>
      </c>
      <c r="C150" s="4" t="str">
        <f>IFERROR(__xludf.DUMMYFUNCTION("GOOGLETRANSLATE(B150, ""RO"", ""EN"")"),"In the first round at your presidential election. You will go for a vote, you will probably go, you probably won't go or you will not go to vote?")</f>
        <v>In the first round at your presidential election. You will go for a vote, you will probably go, you probably won't go or you will not go to vote?</v>
      </c>
      <c r="D150" s="5" t="str">
        <f>IFERROR(__xludf.DUMMYFUNCTION("IF(O150&lt;&gt;"""", GOOGLETRANSLATE(O150, ""RO"", ""EN""), """")"),"")</f>
        <v/>
      </c>
      <c r="E150" s="6" t="str">
        <f>IFERROR(__xludf.DUMMYFUNCTION("IF(P150&lt;&gt;"""", GOOGLETRANSLATE(P150, ""RO"", ""EN""), """")"),"I'm sure I'm going")</f>
        <v>I'm sure I'm going</v>
      </c>
      <c r="F150" s="5" t="str">
        <f>IFERROR(__xludf.DUMMYFUNCTION("IF(Q150&lt;&gt;"""", GOOGLETRANSLATE(Q150, ""RO"", ""EN""), """")"),"I probably go")</f>
        <v>I probably go</v>
      </c>
      <c r="G150" s="5" t="str">
        <f>IFERROR(__xludf.DUMMYFUNCTION("IF(R150&lt;&gt;"""", GOOGLETRANSLATE(R150, ""RO"", ""EN""), """")"),"I probably don't go")</f>
        <v>I probably don't go</v>
      </c>
      <c r="H150" s="5" t="str">
        <f>IFERROR(__xludf.DUMMYFUNCTION("IF(U150&lt;&gt;"""", GOOGLETRANSLATE(U150, ""RO"", ""EN""), """")"),"Sure I don't go")</f>
        <v>Sure I don't go</v>
      </c>
      <c r="I150" s="5" t="str">
        <f>IFERROR(__xludf.DUMMYFUNCTION("IF(V150&lt;&gt;"""", GOOGLETRANSLATE(V150, ""RO"", ""EN""), """")"),"")</f>
        <v/>
      </c>
      <c r="J150" s="5" t="str">
        <f>IFERROR(__xludf.DUMMYFUNCTION("IF(W150&lt;&gt;"""", GOOGLETRANSLATE(W150, ""RO"", ""EN""), """")"),"")</f>
        <v/>
      </c>
      <c r="K150" s="5" t="str">
        <f>IFERROR(__xludf.DUMMYFUNCTION("IF(X150&lt;&gt;"""", GOOGLETRANSLATE(X150, ""RO"", ""EN""), """")"),"")</f>
        <v/>
      </c>
      <c r="L150" s="5" t="str">
        <f>IFERROR(__xludf.DUMMYFUNCTION("IF(S150&lt;&gt;"""", GOOGLETRANSLATE(S150, ""RO"", ""EN""), """")"),"Ns")</f>
        <v>Ns</v>
      </c>
      <c r="M150" s="5" t="str">
        <f>IFERROR(__xludf.DUMMYFUNCTION("IF(T150&lt;&gt;"""", GOOGLETRANSLATE(T150, ""RO"", ""EN""), """")"),"No.")</f>
        <v>No.</v>
      </c>
      <c r="N150" s="5" t="str">
        <f>IFERROR(__xludf.DUMMYFUNCTION("IF(Y150&lt;&gt;"""", GOOGLETRANSLATE(Y150, ""RO"", ""EN""), """")"),"")</f>
        <v/>
      </c>
      <c r="P150" s="4" t="s">
        <v>471</v>
      </c>
      <c r="Q150" s="4" t="s">
        <v>472</v>
      </c>
      <c r="R150" s="4" t="s">
        <v>473</v>
      </c>
      <c r="S150" s="4" t="s">
        <v>103</v>
      </c>
      <c r="T150" s="4" t="s">
        <v>104</v>
      </c>
      <c r="U150" s="4" t="s">
        <v>474</v>
      </c>
    </row>
    <row r="151" ht="15.75" customHeight="1">
      <c r="A151" s="4" t="s">
        <v>475</v>
      </c>
      <c r="B151" s="4" t="s">
        <v>476</v>
      </c>
      <c r="C151" s="4" t="str">
        <f>IFERROR(__xludf.DUMMYFUNCTION("GOOGLETRANSLATE(B151, ""RO"", ""EN"")"),"For various reasons, most likely only half of the voters will vote at the presidential elections, tour 1. You will go for sure, you probably will go, you will not go or you will not go to vote?")</f>
        <v>For various reasons, most likely only half of the voters will vote at the presidential elections, tour 1. You will go for sure, you probably will go, you will not go or you will not go to vote?</v>
      </c>
      <c r="D151" s="5" t="str">
        <f>IFERROR(__xludf.DUMMYFUNCTION("IF(O151&lt;&gt;"""", GOOGLETRANSLATE(O151, ""RO"", ""EN""), """")"),"")</f>
        <v/>
      </c>
      <c r="E151" s="6" t="str">
        <f>IFERROR(__xludf.DUMMYFUNCTION("IF(P151&lt;&gt;"""", GOOGLETRANSLATE(P151, ""RO"", ""EN""), """")"),"I'm sure I'm going")</f>
        <v>I'm sure I'm going</v>
      </c>
      <c r="F151" s="5" t="str">
        <f>IFERROR(__xludf.DUMMYFUNCTION("IF(Q151&lt;&gt;"""", GOOGLETRANSLATE(Q151, ""RO"", ""EN""), """")"),"I probably go")</f>
        <v>I probably go</v>
      </c>
      <c r="G151" s="5" t="str">
        <f>IFERROR(__xludf.DUMMYFUNCTION("IF(R151&lt;&gt;"""", GOOGLETRANSLATE(R151, ""RO"", ""EN""), """")"),"I probably don't go")</f>
        <v>I probably don't go</v>
      </c>
      <c r="H151" s="5" t="str">
        <f>IFERROR(__xludf.DUMMYFUNCTION("IF(U151&lt;&gt;"""", GOOGLETRANSLATE(U151, ""RO"", ""EN""), """")"),"Sure I don't go")</f>
        <v>Sure I don't go</v>
      </c>
      <c r="I151" s="5" t="str">
        <f>IFERROR(__xludf.DUMMYFUNCTION("IF(V151&lt;&gt;"""", GOOGLETRANSLATE(V151, ""RO"", ""EN""), """")"),"")</f>
        <v/>
      </c>
      <c r="J151" s="5" t="str">
        <f>IFERROR(__xludf.DUMMYFUNCTION("IF(W151&lt;&gt;"""", GOOGLETRANSLATE(W151, ""RO"", ""EN""), """")"),"")</f>
        <v/>
      </c>
      <c r="K151" s="5" t="str">
        <f>IFERROR(__xludf.DUMMYFUNCTION("IF(X151&lt;&gt;"""", GOOGLETRANSLATE(X151, ""RO"", ""EN""), """")"),"")</f>
        <v/>
      </c>
      <c r="L151" s="5" t="str">
        <f>IFERROR(__xludf.DUMMYFUNCTION("IF(S151&lt;&gt;"""", GOOGLETRANSLATE(S151, ""RO"", ""EN""), """")"),"Ns")</f>
        <v>Ns</v>
      </c>
      <c r="M151" s="5" t="str">
        <f>IFERROR(__xludf.DUMMYFUNCTION("IF(T151&lt;&gt;"""", GOOGLETRANSLATE(T151, ""RO"", ""EN""), """")"),"No.")</f>
        <v>No.</v>
      </c>
      <c r="N151" s="5" t="str">
        <f>IFERROR(__xludf.DUMMYFUNCTION("IF(Y151&lt;&gt;"""", GOOGLETRANSLATE(Y151, ""RO"", ""EN""), """")"),"")</f>
        <v/>
      </c>
      <c r="P151" s="4" t="s">
        <v>471</v>
      </c>
      <c r="Q151" s="4" t="s">
        <v>472</v>
      </c>
      <c r="R151" s="4" t="s">
        <v>473</v>
      </c>
      <c r="S151" s="4" t="s">
        <v>103</v>
      </c>
      <c r="T151" s="4" t="s">
        <v>104</v>
      </c>
      <c r="U151" s="4" t="s">
        <v>474</v>
      </c>
    </row>
    <row r="152" ht="15.75" customHeight="1">
      <c r="A152" s="4" t="s">
        <v>477</v>
      </c>
      <c r="B152" s="4" t="s">
        <v>478</v>
      </c>
      <c r="C152" s="4" t="str">
        <f>IFERROR(__xludf.DUMMYFUNCTION("GOOGLETRANSLATE(B152, ""RO"", ""EN"")"),"At this moment do you know very sure who you will vote with?")</f>
        <v>At this moment do you know very sure who you will vote with?</v>
      </c>
      <c r="D152" s="5" t="str">
        <f>IFERROR(__xludf.DUMMYFUNCTION("IF(O152&lt;&gt;"""", GOOGLETRANSLATE(O152, ""RO"", ""EN""), """")"),"")</f>
        <v/>
      </c>
      <c r="E152" s="6" t="str">
        <f>IFERROR(__xludf.DUMMYFUNCTION("IF(P152&lt;&gt;"""", GOOGLETRANSLATE(P152, ""RO"", ""EN""), """")"),"Yes I know very sure")</f>
        <v>Yes I know very sure</v>
      </c>
      <c r="F152" s="5" t="str">
        <f>IFERROR(__xludf.DUMMYFUNCTION("IF(Q152&lt;&gt;"""", GOOGLETRANSLATE(Q152, ""RO"", ""EN""), """")"),"No, I don't know very sure")</f>
        <v>No, I don't know very sure</v>
      </c>
      <c r="G152" s="5" t="str">
        <f>IFERROR(__xludf.DUMMYFUNCTION("IF(R152&lt;&gt;"""", GOOGLETRANSLATE(R152, ""RO"", ""EN""), """")"),"I do not vote")</f>
        <v>I do not vote</v>
      </c>
      <c r="H152" s="5" t="str">
        <f>IFERROR(__xludf.DUMMYFUNCTION("IF(U152&lt;&gt;"""", GOOGLETRANSLATE(U152, ""RO"", ""EN""), """")"),"")</f>
        <v/>
      </c>
      <c r="I152" s="5" t="str">
        <f>IFERROR(__xludf.DUMMYFUNCTION("IF(V152&lt;&gt;"""", GOOGLETRANSLATE(V152, ""RO"", ""EN""), """")"),"")</f>
        <v/>
      </c>
      <c r="J152" s="5" t="str">
        <f>IFERROR(__xludf.DUMMYFUNCTION("IF(W152&lt;&gt;"""", GOOGLETRANSLATE(W152, ""RO"", ""EN""), """")"),"")</f>
        <v/>
      </c>
      <c r="K152" s="5" t="str">
        <f>IFERROR(__xludf.DUMMYFUNCTION("IF(X152&lt;&gt;"""", GOOGLETRANSLATE(X152, ""RO"", ""EN""), """")"),"Nc, does not know whether or not to vote")</f>
        <v>Nc, does not know whether or not to vote</v>
      </c>
      <c r="L152" s="5" t="str">
        <f>IFERROR(__xludf.DUMMYFUNCTION("IF(S152&lt;&gt;"""", GOOGLETRANSLATE(S152, ""RO"", ""EN""), """")"),"")</f>
        <v/>
      </c>
      <c r="M152" s="5" t="str">
        <f>IFERROR(__xludf.DUMMYFUNCTION("IF(T152&lt;&gt;"""", GOOGLETRANSLATE(T152, ""RO"", ""EN""), """")"),"No.")</f>
        <v>No.</v>
      </c>
      <c r="N152" s="5" t="str">
        <f>IFERROR(__xludf.DUMMYFUNCTION("IF(Y152&lt;&gt;"""", GOOGLETRANSLATE(Y152, ""RO"", ""EN""), """")"),"")</f>
        <v/>
      </c>
      <c r="P152" s="4" t="s">
        <v>479</v>
      </c>
      <c r="Q152" s="4" t="s">
        <v>480</v>
      </c>
      <c r="R152" s="4" t="s">
        <v>481</v>
      </c>
      <c r="T152" s="4" t="s">
        <v>104</v>
      </c>
      <c r="X152" s="4" t="s">
        <v>482</v>
      </c>
    </row>
    <row r="153" ht="15.75" customHeight="1">
      <c r="A153" s="4" t="s">
        <v>483</v>
      </c>
      <c r="B153" s="4" t="s">
        <v>484</v>
      </c>
      <c r="C153" s="4" t="str">
        <f>IFERROR(__xludf.DUMMYFUNCTION("GOOGLETRANSLATE(B153, ""RO"", ""EN"")"),"What is the candidate with whom you will vote in the presidential elections in round 1?")</f>
        <v>What is the candidate with whom you will vote in the presidential elections in round 1?</v>
      </c>
      <c r="D153" s="5" t="str">
        <f>IFERROR(__xludf.DUMMYFUNCTION("IF(O153&lt;&gt;"""", GOOGLETRANSLATE(O153, ""RO"", ""EN""), """")"),"")</f>
        <v/>
      </c>
      <c r="E153" s="6" t="str">
        <f>IFERROR(__xludf.DUMMYFUNCTION("IF(P153&lt;&gt;"""", GOOGLETRANSLATE(P153, ""RO"", ""EN""), """")"),"Mircea Geoana")</f>
        <v>Mircea Geoana</v>
      </c>
      <c r="F153" s="5" t="str">
        <f>IFERROR(__xludf.DUMMYFUNCTION("IF(Q153&lt;&gt;"""", GOOGLETRANSLATE(Q153, ""RO"", ""EN""), """")"),"Crin Antonescu")</f>
        <v>Crin Antonescu</v>
      </c>
      <c r="G153" s="5" t="str">
        <f>IFERROR(__xludf.DUMMYFUNCTION("IF(R153&lt;&gt;"""", GOOGLETRANSLATE(R153, ""RO"", ""EN""), """")"),"Traian Basescu")</f>
        <v>Traian Basescu</v>
      </c>
      <c r="H153" s="5" t="str">
        <f>IFERROR(__xludf.DUMMYFUNCTION("IF(U153&lt;&gt;"""", GOOGLETRANSLATE(U153, ""RO"", ""EN""), """")"),"Sorin Oprescu")</f>
        <v>Sorin Oprescu</v>
      </c>
      <c r="I153" s="5" t="str">
        <f>IFERROR(__xludf.DUMMYFUNCTION("IF(V153&lt;&gt;"""", GOOGLETRANSLATE(V153, ""RO"", ""EN""), """")"),"Corneliu Vadim Tudor")</f>
        <v>Corneliu Vadim Tudor</v>
      </c>
      <c r="J153" s="5" t="str">
        <f>IFERROR(__xludf.DUMMYFUNCTION("IF(W153&lt;&gt;"""", GOOGLETRANSLATE(W153, ""RO"", ""EN""), """")"),"Kelemen Hunor")</f>
        <v>Kelemen Hunor</v>
      </c>
      <c r="K153" s="5" t="str">
        <f>IFERROR(__xludf.DUMMYFUNCTION("IF(X153&lt;&gt;"""", GOOGLETRANSLATE(X153, ""RO"", ""EN""), """")"),"George Becali")</f>
        <v>George Becali</v>
      </c>
      <c r="L153" s="5" t="str">
        <f>IFERROR(__xludf.DUMMYFUNCTION("IF(S153&lt;&gt;"""", GOOGLETRANSLATE(S153, ""RO"", ""EN""), """")"),"Another candidate")</f>
        <v>Another candidate</v>
      </c>
      <c r="M153" s="5" t="str">
        <f>IFERROR(__xludf.DUMMYFUNCTION("IF(T153&lt;&gt;"""", GOOGLETRANSLATE(T153, ""RO"", ""EN""), """")"),"")</f>
        <v/>
      </c>
      <c r="N153" s="5" t="str">
        <f>IFERROR(__xludf.DUMMYFUNCTION("IF(Y153&lt;&gt;"""", GOOGLETRANSLATE(Y153, ""RO"", ""EN""), """")"),"")</f>
        <v/>
      </c>
      <c r="P153" s="4" t="s">
        <v>219</v>
      </c>
      <c r="Q153" s="4" t="s">
        <v>220</v>
      </c>
      <c r="R153" s="4" t="s">
        <v>221</v>
      </c>
      <c r="S153" s="4" t="s">
        <v>485</v>
      </c>
      <c r="U153" s="4" t="s">
        <v>223</v>
      </c>
      <c r="V153" s="4" t="s">
        <v>224</v>
      </c>
      <c r="W153" s="4" t="s">
        <v>225</v>
      </c>
      <c r="X153" s="4" t="s">
        <v>226</v>
      </c>
      <c r="Z153" s="4" t="s">
        <v>486</v>
      </c>
      <c r="AA153" s="4" t="s">
        <v>487</v>
      </c>
      <c r="AB153" s="4" t="s">
        <v>215</v>
      </c>
      <c r="AC153" s="4" t="s">
        <v>488</v>
      </c>
      <c r="AD153" s="4" t="s">
        <v>489</v>
      </c>
    </row>
    <row r="154" ht="15.75" customHeight="1">
      <c r="A154" s="4" t="s">
        <v>490</v>
      </c>
      <c r="B154" s="4" t="s">
        <v>484</v>
      </c>
      <c r="C154" s="4" t="str">
        <f>IFERROR(__xludf.DUMMYFUNCTION("GOOGLETRANSLATE(B154, ""RO"", ""EN"")"),"What is the candidate with whom you will vote in the presidential elections in round 1?")</f>
        <v>What is the candidate with whom you will vote in the presidential elections in round 1?</v>
      </c>
      <c r="D154" s="5" t="str">
        <f>IFERROR(__xludf.DUMMYFUNCTION("IF(O154&lt;&gt;"""", GOOGLETRANSLATE(O154, ""RO"", ""EN""), """")"),"")</f>
        <v/>
      </c>
      <c r="E154" s="6" t="str">
        <f>IFERROR(__xludf.DUMMYFUNCTION("IF(P154&lt;&gt;"""", GOOGLETRANSLATE(P154, ""RO"", ""EN""), """")"),"Mircea Geoana")</f>
        <v>Mircea Geoana</v>
      </c>
      <c r="F154" s="5" t="str">
        <f>IFERROR(__xludf.DUMMYFUNCTION("IF(Q154&lt;&gt;"""", GOOGLETRANSLATE(Q154, ""RO"", ""EN""), """")"),"Crin Antonescu")</f>
        <v>Crin Antonescu</v>
      </c>
      <c r="G154" s="5" t="str">
        <f>IFERROR(__xludf.DUMMYFUNCTION("IF(R154&lt;&gt;"""", GOOGLETRANSLATE(R154, ""RO"", ""EN""), """")"),"Traian Basescu")</f>
        <v>Traian Basescu</v>
      </c>
      <c r="H154" s="5" t="str">
        <f>IFERROR(__xludf.DUMMYFUNCTION("IF(U154&lt;&gt;"""", GOOGLETRANSLATE(U154, ""RO"", ""EN""), """")"),"Sorin Oprescu")</f>
        <v>Sorin Oprescu</v>
      </c>
      <c r="I154" s="5" t="str">
        <f>IFERROR(__xludf.DUMMYFUNCTION("IF(V154&lt;&gt;"""", GOOGLETRANSLATE(V154, ""RO"", ""EN""), """")"),"Corneliu Vadim Tudor")</f>
        <v>Corneliu Vadim Tudor</v>
      </c>
      <c r="J154" s="5" t="str">
        <f>IFERROR(__xludf.DUMMYFUNCTION("IF(W154&lt;&gt;"""", GOOGLETRANSLATE(W154, ""RO"", ""EN""), """")"),"Kelemen Hunor")</f>
        <v>Kelemen Hunor</v>
      </c>
      <c r="K154" s="5" t="str">
        <f>IFERROR(__xludf.DUMMYFUNCTION("IF(X154&lt;&gt;"""", GOOGLETRANSLATE(X154, ""RO"", ""EN""), """")"),"George Becali")</f>
        <v>George Becali</v>
      </c>
      <c r="L154" s="5" t="str">
        <f>IFERROR(__xludf.DUMMYFUNCTION("IF(S154&lt;&gt;"""", GOOGLETRANSLATE(S154, ""RO"", ""EN""), """")"),"Another candidate")</f>
        <v>Another candidate</v>
      </c>
      <c r="M154" s="5" t="str">
        <f>IFERROR(__xludf.DUMMYFUNCTION("IF(T154&lt;&gt;"""", GOOGLETRANSLATE(T154, ""RO"", ""EN""), """")"),"")</f>
        <v/>
      </c>
      <c r="N154" s="5" t="str">
        <f>IFERROR(__xludf.DUMMYFUNCTION("IF(Y154&lt;&gt;"""", GOOGLETRANSLATE(Y154, ""RO"", ""EN""), """")"),"")</f>
        <v/>
      </c>
      <c r="P154" s="4" t="s">
        <v>219</v>
      </c>
      <c r="Q154" s="4" t="s">
        <v>220</v>
      </c>
      <c r="R154" s="4" t="s">
        <v>221</v>
      </c>
      <c r="S154" s="4" t="s">
        <v>485</v>
      </c>
      <c r="U154" s="4" t="s">
        <v>223</v>
      </c>
      <c r="V154" s="4" t="s">
        <v>224</v>
      </c>
      <c r="W154" s="4" t="s">
        <v>225</v>
      </c>
      <c r="X154" s="4" t="s">
        <v>226</v>
      </c>
      <c r="Z154" s="4" t="s">
        <v>486</v>
      </c>
      <c r="AA154" s="4" t="s">
        <v>491</v>
      </c>
      <c r="AB154" s="4" t="s">
        <v>215</v>
      </c>
      <c r="AC154" s="4" t="s">
        <v>488</v>
      </c>
      <c r="AD154" s="4" t="s">
        <v>489</v>
      </c>
    </row>
    <row r="155" ht="15.75" customHeight="1">
      <c r="A155" s="4" t="s">
        <v>492</v>
      </c>
      <c r="B155" s="4" t="s">
        <v>493</v>
      </c>
      <c r="C155" s="4" t="str">
        <f>IFERROR(__xludf.DUMMYFUNCTION("GOOGLETRANSLATE(B155, ""RO"", ""EN"")"),"Your preference for (candidate's name) is ...?")</f>
        <v>Your preference for (candidate's name) is ...?</v>
      </c>
      <c r="D155" s="5" t="str">
        <f>IFERROR(__xludf.DUMMYFUNCTION("IF(O155&lt;&gt;"""", GOOGLETRANSLATE(O155, ""RO"", ""EN""), """")"),"")</f>
        <v/>
      </c>
      <c r="E155" s="6" t="str">
        <f>IFERROR(__xludf.DUMMYFUNCTION("IF(P155&lt;&gt;"""", GOOGLETRANSLATE(P155, ""RO"", ""EN""), """")"),"very strong")</f>
        <v>very strong</v>
      </c>
      <c r="F155" s="5" t="str">
        <f>IFERROR(__xludf.DUMMYFUNCTION("IF(Q155&lt;&gt;"""", GOOGLETRANSLATE(Q155, ""RO"", ""EN""), """")"),"strong")</f>
        <v>strong</v>
      </c>
      <c r="G155" s="5" t="str">
        <f>IFERROR(__xludf.DUMMYFUNCTION("IF(R155&lt;&gt;"""", GOOGLETRANSLATE(R155, ""RO"", ""EN""), """")"),"average")</f>
        <v>average</v>
      </c>
      <c r="H155" s="5" t="str">
        <f>IFERROR(__xludf.DUMMYFUNCTION("IF(U155&lt;&gt;"""", GOOGLETRANSLATE(U155, ""RO"", ""EN""), """")"),"POOR")</f>
        <v>POOR</v>
      </c>
      <c r="I155" s="5" t="str">
        <f>IFERROR(__xludf.DUMMYFUNCTION("IF(V155&lt;&gt;"""", GOOGLETRANSLATE(V155, ""RO"", ""EN""), """")"),"very thin")</f>
        <v>very thin</v>
      </c>
      <c r="J155" s="5" t="str">
        <f>IFERROR(__xludf.DUMMYFUNCTION("IF(W155&lt;&gt;"""", GOOGLETRANSLATE(W155, ""RO"", ""EN""), """")"),"")</f>
        <v/>
      </c>
      <c r="K155" s="5" t="str">
        <f>IFERROR(__xludf.DUMMYFUNCTION("IF(X155&lt;&gt;"""", GOOGLETRANSLATE(X155, ""RO"", ""EN""), """")"),"")</f>
        <v/>
      </c>
      <c r="L155" s="5" t="str">
        <f>IFERROR(__xludf.DUMMYFUNCTION("IF(S155&lt;&gt;"""", GOOGLETRANSLATE(S155, ""RO"", ""EN""), """")"),"Ns")</f>
        <v>Ns</v>
      </c>
      <c r="M155" s="5" t="str">
        <f>IFERROR(__xludf.DUMMYFUNCTION("IF(T155&lt;&gt;"""", GOOGLETRANSLATE(T155, ""RO"", ""EN""), """")"),"No.")</f>
        <v>No.</v>
      </c>
      <c r="N155" s="5" t="str">
        <f>IFERROR(__xludf.DUMMYFUNCTION("IF(Y155&lt;&gt;"""", GOOGLETRANSLATE(Y155, ""RO"", ""EN""), """")"),"")</f>
        <v/>
      </c>
      <c r="P155" s="4" t="s">
        <v>494</v>
      </c>
      <c r="Q155" s="4" t="s">
        <v>495</v>
      </c>
      <c r="R155" s="4" t="s">
        <v>496</v>
      </c>
      <c r="S155" s="4" t="s">
        <v>103</v>
      </c>
      <c r="T155" s="4" t="s">
        <v>104</v>
      </c>
      <c r="U155" s="4" t="s">
        <v>497</v>
      </c>
      <c r="V155" s="4" t="s">
        <v>498</v>
      </c>
    </row>
    <row r="156" ht="15.75" customHeight="1">
      <c r="A156" s="4" t="s">
        <v>499</v>
      </c>
      <c r="B156" s="4" t="s">
        <v>500</v>
      </c>
      <c r="C156" s="4" t="str">
        <f>IFERROR(__xludf.DUMMYFUNCTION("GOOGLETRANSLATE(B156, ""RO"", ""EN"")"),"If (the name of the candidate) will not arrive in round 2, will you go to vote on tour 2?")</f>
        <v>If (the name of the candidate) will not arrive in round 2, will you go to vote on tour 2?</v>
      </c>
      <c r="D156" s="5" t="str">
        <f>IFERROR(__xludf.DUMMYFUNCTION("IF(O156&lt;&gt;"""", GOOGLETRANSLATE(O156, ""RO"", ""EN""), """")"),"")</f>
        <v/>
      </c>
      <c r="E156" s="6" t="str">
        <f>IFERROR(__xludf.DUMMYFUNCTION("IF(P156&lt;&gt;"""", GOOGLETRANSLATE(P156, ""RO"", ""EN""), """")"),"I'm sure I'm going")</f>
        <v>I'm sure I'm going</v>
      </c>
      <c r="F156" s="5" t="str">
        <f>IFERROR(__xludf.DUMMYFUNCTION("IF(Q156&lt;&gt;"""", GOOGLETRANSLATE(Q156, ""RO"", ""EN""), """")"),"I probably go")</f>
        <v>I probably go</v>
      </c>
      <c r="G156" s="5" t="str">
        <f>IFERROR(__xludf.DUMMYFUNCTION("IF(R156&lt;&gt;"""", GOOGLETRANSLATE(R156, ""RO"", ""EN""), """")"),"I probably don't go")</f>
        <v>I probably don't go</v>
      </c>
      <c r="H156" s="5" t="str">
        <f>IFERROR(__xludf.DUMMYFUNCTION("IF(U156&lt;&gt;"""", GOOGLETRANSLATE(U156, ""RO"", ""EN""), """")"),"Sure I don't go")</f>
        <v>Sure I don't go</v>
      </c>
      <c r="I156" s="5" t="str">
        <f>IFERROR(__xludf.DUMMYFUNCTION("IF(V156&lt;&gt;"""", GOOGLETRANSLATE(V156, ""RO"", ""EN""), """")"),"")</f>
        <v/>
      </c>
      <c r="J156" s="5" t="str">
        <f>IFERROR(__xludf.DUMMYFUNCTION("IF(W156&lt;&gt;"""", GOOGLETRANSLATE(W156, ""RO"", ""EN""), """")"),"")</f>
        <v/>
      </c>
      <c r="K156" s="5" t="str">
        <f>IFERROR(__xludf.DUMMYFUNCTION("IF(X156&lt;&gt;"""", GOOGLETRANSLATE(X156, ""RO"", ""EN""), """")"),"")</f>
        <v/>
      </c>
      <c r="L156" s="5" t="str">
        <f>IFERROR(__xludf.DUMMYFUNCTION("IF(S156&lt;&gt;"""", GOOGLETRANSLATE(S156, ""RO"", ""EN""), """")"),"Ns")</f>
        <v>Ns</v>
      </c>
      <c r="M156" s="5" t="str">
        <f>IFERROR(__xludf.DUMMYFUNCTION("IF(T156&lt;&gt;"""", GOOGLETRANSLATE(T156, ""RO"", ""EN""), """")"),"No.")</f>
        <v>No.</v>
      </c>
      <c r="N156" s="5" t="str">
        <f>IFERROR(__xludf.DUMMYFUNCTION("IF(Y156&lt;&gt;"""", GOOGLETRANSLATE(Y156, ""RO"", ""EN""), """")"),"")</f>
        <v/>
      </c>
      <c r="P156" s="4" t="s">
        <v>471</v>
      </c>
      <c r="Q156" s="4" t="s">
        <v>472</v>
      </c>
      <c r="R156" s="4" t="s">
        <v>473</v>
      </c>
      <c r="S156" s="4" t="s">
        <v>103</v>
      </c>
      <c r="T156" s="4" t="s">
        <v>104</v>
      </c>
      <c r="U156" s="4" t="s">
        <v>474</v>
      </c>
    </row>
    <row r="157" ht="15.75" customHeight="1">
      <c r="A157" s="4" t="s">
        <v>501</v>
      </c>
      <c r="B157" s="4" t="s">
        <v>502</v>
      </c>
      <c r="C157" s="4" t="str">
        <f>IFERROR(__xludf.DUMMYFUNCTION("GOOGLETRANSLATE(B157, ""RO"", ""EN"")"),"If (the name of the candidate) will not reach round 2, but it urges you to vote in round 2 a certain candidate, will you follow his advice?")</f>
        <v>If (the name of the candidate) will not reach round 2, but it urges you to vote in round 2 a certain candidate, will you follow his advice?</v>
      </c>
      <c r="D157" s="5" t="str">
        <f>IFERROR(__xludf.DUMMYFUNCTION("IF(O157&lt;&gt;"""", GOOGLETRANSLATE(O157, ""RO"", ""EN""), """")"),"")</f>
        <v/>
      </c>
      <c r="E157" s="6" t="str">
        <f>IFERROR(__xludf.DUMMYFUNCTION("IF(P157&lt;&gt;"""", GOOGLETRANSLATE(P157, ""RO"", ""EN""), """")"),"sure yes")</f>
        <v>sure yes</v>
      </c>
      <c r="F157" s="5" t="str">
        <f>IFERROR(__xludf.DUMMYFUNCTION("IF(Q157&lt;&gt;"""", GOOGLETRANSLATE(Q157, ""RO"", ""EN""), """")"),"Probably yes")</f>
        <v>Probably yes</v>
      </c>
      <c r="G157" s="5" t="str">
        <f>IFERROR(__xludf.DUMMYFUNCTION("IF(R157&lt;&gt;"""", GOOGLETRANSLATE(R157, ""RO"", ""EN""), """")"),"Probably not")</f>
        <v>Probably not</v>
      </c>
      <c r="H157" s="5" t="str">
        <f>IFERROR(__xludf.DUMMYFUNCTION("IF(U157&lt;&gt;"""", GOOGLETRANSLATE(U157, ""RO"", ""EN""), """")"),"of course not")</f>
        <v>of course not</v>
      </c>
      <c r="I157" s="5" t="str">
        <f>IFERROR(__xludf.DUMMYFUNCTION("IF(V157&lt;&gt;"""", GOOGLETRANSLATE(V157, ""RO"", ""EN""), """")"),"")</f>
        <v/>
      </c>
      <c r="J157" s="5" t="str">
        <f>IFERROR(__xludf.DUMMYFUNCTION("IF(W157&lt;&gt;"""", GOOGLETRANSLATE(W157, ""RO"", ""EN""), """")"),"")</f>
        <v/>
      </c>
      <c r="K157" s="5" t="str">
        <f>IFERROR(__xludf.DUMMYFUNCTION("IF(X157&lt;&gt;"""", GOOGLETRANSLATE(X157, ""RO"", ""EN""), """")"),"")</f>
        <v/>
      </c>
      <c r="L157" s="5" t="str">
        <f>IFERROR(__xludf.DUMMYFUNCTION("IF(S157&lt;&gt;"""", GOOGLETRANSLATE(S157, ""RO"", ""EN""), """")"),"Ns")</f>
        <v>Ns</v>
      </c>
      <c r="M157" s="5" t="str">
        <f>IFERROR(__xludf.DUMMYFUNCTION("IF(T157&lt;&gt;"""", GOOGLETRANSLATE(T157, ""RO"", ""EN""), """")"),"No.")</f>
        <v>No.</v>
      </c>
      <c r="N157" s="5" t="str">
        <f>IFERROR(__xludf.DUMMYFUNCTION("IF(Y157&lt;&gt;"""", GOOGLETRANSLATE(Y157, ""RO"", ""EN""), """")"),"")</f>
        <v/>
      </c>
      <c r="P157" s="4" t="s">
        <v>503</v>
      </c>
      <c r="Q157" s="4" t="s">
        <v>504</v>
      </c>
      <c r="R157" s="4" t="s">
        <v>505</v>
      </c>
      <c r="S157" s="4" t="s">
        <v>103</v>
      </c>
      <c r="T157" s="4" t="s">
        <v>104</v>
      </c>
      <c r="U157" s="4" t="s">
        <v>506</v>
      </c>
    </row>
    <row r="158" ht="15.75" customHeight="1">
      <c r="A158" s="4" t="s">
        <v>507</v>
      </c>
      <c r="B158" s="4" t="s">
        <v>508</v>
      </c>
      <c r="C158" s="4" t="str">
        <f>IFERROR(__xludf.DUMMYFUNCTION("GOOGLETRANSLATE(B158, ""RO"", ""EN"")"),"What candidates or variants do you think about choosing? You can make more choices. Do you think about ...? ... Vote with Mircea Geoana")</f>
        <v>What candidates or variants do you think about choosing? You can make more choices. Do you think about ...? ... Vote with Mircea Geoana</v>
      </c>
      <c r="D158" s="5" t="str">
        <f>IFERROR(__xludf.DUMMYFUNCTION("IF(O158&lt;&gt;"""", GOOGLETRANSLATE(O158, ""RO"", ""EN""), """")"),"")</f>
        <v/>
      </c>
      <c r="E158" s="6" t="str">
        <f>IFERROR(__xludf.DUMMYFUNCTION("IF(P158&lt;&gt;"""", GOOGLETRANSLATE(P158, ""RO"", ""EN""), """")"),"Mentioned")</f>
        <v>Mentioned</v>
      </c>
      <c r="F158" s="5" t="str">
        <f>IFERROR(__xludf.DUMMYFUNCTION("IF(Q158&lt;&gt;"""", GOOGLETRANSLATE(Q158, ""RO"", ""EN""), """")"),"Not mentioned")</f>
        <v>Not mentioned</v>
      </c>
      <c r="G158" s="5" t="str">
        <f>IFERROR(__xludf.DUMMYFUNCTION("IF(R158&lt;&gt;"""", GOOGLETRANSLATE(R158, ""RO"", ""EN""), """")"),"")</f>
        <v/>
      </c>
      <c r="H158" s="5" t="str">
        <f>IFERROR(__xludf.DUMMYFUNCTION("IF(U158&lt;&gt;"""", GOOGLETRANSLATE(U158, ""RO"", ""EN""), """")"),"")</f>
        <v/>
      </c>
      <c r="I158" s="5" t="str">
        <f>IFERROR(__xludf.DUMMYFUNCTION("IF(V158&lt;&gt;"""", GOOGLETRANSLATE(V158, ""RO"", ""EN""), """")"),"")</f>
        <v/>
      </c>
      <c r="J158" s="5" t="str">
        <f>IFERROR(__xludf.DUMMYFUNCTION("IF(W158&lt;&gt;"""", GOOGLETRANSLATE(W158, ""RO"", ""EN""), """")"),"")</f>
        <v/>
      </c>
      <c r="K158" s="5" t="str">
        <f>IFERROR(__xludf.DUMMYFUNCTION("IF(X158&lt;&gt;"""", GOOGLETRANSLATE(X158, ""RO"", ""EN""), """")"),"Nc")</f>
        <v>Nc</v>
      </c>
      <c r="L158" s="5" t="str">
        <f>IFERROR(__xludf.DUMMYFUNCTION("IF(S158&lt;&gt;"""", GOOGLETRANSLATE(S158, ""RO"", ""EN""), """")"),"Ns")</f>
        <v>Ns</v>
      </c>
      <c r="M158" s="5" t="str">
        <f>IFERROR(__xludf.DUMMYFUNCTION("IF(T158&lt;&gt;"""", GOOGLETRANSLATE(T158, ""RO"", ""EN""), """")"),"No.")</f>
        <v>No.</v>
      </c>
      <c r="N158" s="5" t="str">
        <f>IFERROR(__xludf.DUMMYFUNCTION("IF(Y158&lt;&gt;"""", GOOGLETRANSLATE(Y158, ""RO"", ""EN""), """")"),"")</f>
        <v/>
      </c>
      <c r="P158" s="4" t="s">
        <v>509</v>
      </c>
      <c r="Q158" s="4" t="s">
        <v>510</v>
      </c>
      <c r="S158" s="4" t="s">
        <v>103</v>
      </c>
      <c r="T158" s="4" t="s">
        <v>104</v>
      </c>
      <c r="X158" s="4" t="s">
        <v>177</v>
      </c>
    </row>
    <row r="159" ht="15.75" customHeight="1">
      <c r="A159" s="4" t="s">
        <v>511</v>
      </c>
      <c r="B159" s="4" t="s">
        <v>512</v>
      </c>
      <c r="C159" s="4" t="str">
        <f>IFERROR(__xludf.DUMMYFUNCTION("GOOGLETRANSLATE(B159, ""RO"", ""EN"")"),"... Vote with Crin Antonescu")</f>
        <v>... Vote with Crin Antonescu</v>
      </c>
      <c r="D159" s="5" t="str">
        <f>IFERROR(__xludf.DUMMYFUNCTION("IF(O159&lt;&gt;"""", GOOGLETRANSLATE(O159, ""RO"", ""EN""), """")"),"")</f>
        <v/>
      </c>
      <c r="E159" s="6" t="str">
        <f>IFERROR(__xludf.DUMMYFUNCTION("IF(P159&lt;&gt;"""", GOOGLETRANSLATE(P159, ""RO"", ""EN""), """")"),"Mentioned")</f>
        <v>Mentioned</v>
      </c>
      <c r="F159" s="5" t="str">
        <f>IFERROR(__xludf.DUMMYFUNCTION("IF(Q159&lt;&gt;"""", GOOGLETRANSLATE(Q159, ""RO"", ""EN""), """")"),"Not mentioned")</f>
        <v>Not mentioned</v>
      </c>
      <c r="G159" s="5" t="str">
        <f>IFERROR(__xludf.DUMMYFUNCTION("IF(R159&lt;&gt;"""", GOOGLETRANSLATE(R159, ""RO"", ""EN""), """")"),"")</f>
        <v/>
      </c>
      <c r="H159" s="5" t="str">
        <f>IFERROR(__xludf.DUMMYFUNCTION("IF(U159&lt;&gt;"""", GOOGLETRANSLATE(U159, ""RO"", ""EN""), """")"),"")</f>
        <v/>
      </c>
      <c r="I159" s="5" t="str">
        <f>IFERROR(__xludf.DUMMYFUNCTION("IF(V159&lt;&gt;"""", GOOGLETRANSLATE(V159, ""RO"", ""EN""), """")"),"")</f>
        <v/>
      </c>
      <c r="J159" s="5" t="str">
        <f>IFERROR(__xludf.DUMMYFUNCTION("IF(W159&lt;&gt;"""", GOOGLETRANSLATE(W159, ""RO"", ""EN""), """")"),"")</f>
        <v/>
      </c>
      <c r="K159" s="5" t="str">
        <f>IFERROR(__xludf.DUMMYFUNCTION("IF(X159&lt;&gt;"""", GOOGLETRANSLATE(X159, ""RO"", ""EN""), """")"),"Nc")</f>
        <v>Nc</v>
      </c>
      <c r="L159" s="5" t="str">
        <f>IFERROR(__xludf.DUMMYFUNCTION("IF(S159&lt;&gt;"""", GOOGLETRANSLATE(S159, ""RO"", ""EN""), """")"),"Ns")</f>
        <v>Ns</v>
      </c>
      <c r="M159" s="5" t="str">
        <f>IFERROR(__xludf.DUMMYFUNCTION("IF(T159&lt;&gt;"""", GOOGLETRANSLATE(T159, ""RO"", ""EN""), """")"),"No.")</f>
        <v>No.</v>
      </c>
      <c r="N159" s="5" t="str">
        <f>IFERROR(__xludf.DUMMYFUNCTION("IF(Y159&lt;&gt;"""", GOOGLETRANSLATE(Y159, ""RO"", ""EN""), """")"),"")</f>
        <v/>
      </c>
      <c r="P159" s="4" t="s">
        <v>509</v>
      </c>
      <c r="Q159" s="4" t="s">
        <v>510</v>
      </c>
      <c r="S159" s="4" t="s">
        <v>103</v>
      </c>
      <c r="T159" s="4" t="s">
        <v>104</v>
      </c>
      <c r="X159" s="4" t="s">
        <v>177</v>
      </c>
    </row>
    <row r="160" ht="15.75" customHeight="1">
      <c r="A160" s="4" t="s">
        <v>513</v>
      </c>
      <c r="B160" s="4" t="s">
        <v>514</v>
      </c>
      <c r="C160" s="4" t="str">
        <f>IFERROR(__xludf.DUMMYFUNCTION("GOOGLETRANSLATE(B160, ""RO"", ""EN"")"),"... Vote with Traian Basescu")</f>
        <v>... Vote with Traian Basescu</v>
      </c>
      <c r="D160" s="5" t="str">
        <f>IFERROR(__xludf.DUMMYFUNCTION("IF(O160&lt;&gt;"""", GOOGLETRANSLATE(O160, ""RO"", ""EN""), """")"),"")</f>
        <v/>
      </c>
      <c r="E160" s="6" t="str">
        <f>IFERROR(__xludf.DUMMYFUNCTION("IF(P160&lt;&gt;"""", GOOGLETRANSLATE(P160, ""RO"", ""EN""), """")"),"Mentioned")</f>
        <v>Mentioned</v>
      </c>
      <c r="F160" s="5" t="str">
        <f>IFERROR(__xludf.DUMMYFUNCTION("IF(Q160&lt;&gt;"""", GOOGLETRANSLATE(Q160, ""RO"", ""EN""), """")"),"Not mentioned")</f>
        <v>Not mentioned</v>
      </c>
      <c r="G160" s="5" t="str">
        <f>IFERROR(__xludf.DUMMYFUNCTION("IF(R160&lt;&gt;"""", GOOGLETRANSLATE(R160, ""RO"", ""EN""), """")"),"")</f>
        <v/>
      </c>
      <c r="H160" s="5" t="str">
        <f>IFERROR(__xludf.DUMMYFUNCTION("IF(U160&lt;&gt;"""", GOOGLETRANSLATE(U160, ""RO"", ""EN""), """")"),"")</f>
        <v/>
      </c>
      <c r="I160" s="5" t="str">
        <f>IFERROR(__xludf.DUMMYFUNCTION("IF(V160&lt;&gt;"""", GOOGLETRANSLATE(V160, ""RO"", ""EN""), """")"),"")</f>
        <v/>
      </c>
      <c r="J160" s="5" t="str">
        <f>IFERROR(__xludf.DUMMYFUNCTION("IF(W160&lt;&gt;"""", GOOGLETRANSLATE(W160, ""RO"", ""EN""), """")"),"")</f>
        <v/>
      </c>
      <c r="K160" s="5" t="str">
        <f>IFERROR(__xludf.DUMMYFUNCTION("IF(X160&lt;&gt;"""", GOOGLETRANSLATE(X160, ""RO"", ""EN""), """")"),"Nc")</f>
        <v>Nc</v>
      </c>
      <c r="L160" s="5" t="str">
        <f>IFERROR(__xludf.DUMMYFUNCTION("IF(S160&lt;&gt;"""", GOOGLETRANSLATE(S160, ""RO"", ""EN""), """")"),"Ns")</f>
        <v>Ns</v>
      </c>
      <c r="M160" s="5" t="str">
        <f>IFERROR(__xludf.DUMMYFUNCTION("IF(T160&lt;&gt;"""", GOOGLETRANSLATE(T160, ""RO"", ""EN""), """")"),"No.")</f>
        <v>No.</v>
      </c>
      <c r="N160" s="5" t="str">
        <f>IFERROR(__xludf.DUMMYFUNCTION("IF(Y160&lt;&gt;"""", GOOGLETRANSLATE(Y160, ""RO"", ""EN""), """")"),"")</f>
        <v/>
      </c>
      <c r="P160" s="4" t="s">
        <v>509</v>
      </c>
      <c r="Q160" s="4" t="s">
        <v>510</v>
      </c>
      <c r="S160" s="4" t="s">
        <v>103</v>
      </c>
      <c r="T160" s="4" t="s">
        <v>104</v>
      </c>
      <c r="X160" s="4" t="s">
        <v>177</v>
      </c>
    </row>
    <row r="161" ht="15.75" customHeight="1">
      <c r="A161" s="4" t="s">
        <v>515</v>
      </c>
      <c r="B161" s="4" t="s">
        <v>516</v>
      </c>
      <c r="C161" s="4" t="str">
        <f>IFERROR(__xludf.DUMMYFUNCTION("GOOGLETRANSLATE(B161, ""RO"", ""EN"")"),"... Vote with Sorin Oprescu")</f>
        <v>... Vote with Sorin Oprescu</v>
      </c>
      <c r="D161" s="5" t="str">
        <f>IFERROR(__xludf.DUMMYFUNCTION("IF(O161&lt;&gt;"""", GOOGLETRANSLATE(O161, ""RO"", ""EN""), """")"),"")</f>
        <v/>
      </c>
      <c r="E161" s="6" t="str">
        <f>IFERROR(__xludf.DUMMYFUNCTION("IF(P161&lt;&gt;"""", GOOGLETRANSLATE(P161, ""RO"", ""EN""), """")"),"Mentioned")</f>
        <v>Mentioned</v>
      </c>
      <c r="F161" s="5" t="str">
        <f>IFERROR(__xludf.DUMMYFUNCTION("IF(Q161&lt;&gt;"""", GOOGLETRANSLATE(Q161, ""RO"", ""EN""), """")"),"Not mentioned")</f>
        <v>Not mentioned</v>
      </c>
      <c r="G161" s="5" t="str">
        <f>IFERROR(__xludf.DUMMYFUNCTION("IF(R161&lt;&gt;"""", GOOGLETRANSLATE(R161, ""RO"", ""EN""), """")"),"")</f>
        <v/>
      </c>
      <c r="H161" s="5" t="str">
        <f>IFERROR(__xludf.DUMMYFUNCTION("IF(U161&lt;&gt;"""", GOOGLETRANSLATE(U161, ""RO"", ""EN""), """")"),"")</f>
        <v/>
      </c>
      <c r="I161" s="5" t="str">
        <f>IFERROR(__xludf.DUMMYFUNCTION("IF(V161&lt;&gt;"""", GOOGLETRANSLATE(V161, ""RO"", ""EN""), """")"),"")</f>
        <v/>
      </c>
      <c r="J161" s="5" t="str">
        <f>IFERROR(__xludf.DUMMYFUNCTION("IF(W161&lt;&gt;"""", GOOGLETRANSLATE(W161, ""RO"", ""EN""), """")"),"")</f>
        <v/>
      </c>
      <c r="K161" s="5" t="str">
        <f>IFERROR(__xludf.DUMMYFUNCTION("IF(X161&lt;&gt;"""", GOOGLETRANSLATE(X161, ""RO"", ""EN""), """")"),"Nc")</f>
        <v>Nc</v>
      </c>
      <c r="L161" s="5" t="str">
        <f>IFERROR(__xludf.DUMMYFUNCTION("IF(S161&lt;&gt;"""", GOOGLETRANSLATE(S161, ""RO"", ""EN""), """")"),"Ns")</f>
        <v>Ns</v>
      </c>
      <c r="M161" s="5" t="str">
        <f>IFERROR(__xludf.DUMMYFUNCTION("IF(T161&lt;&gt;"""", GOOGLETRANSLATE(T161, ""RO"", ""EN""), """")"),"No.")</f>
        <v>No.</v>
      </c>
      <c r="N161" s="5" t="str">
        <f>IFERROR(__xludf.DUMMYFUNCTION("IF(Y161&lt;&gt;"""", GOOGLETRANSLATE(Y161, ""RO"", ""EN""), """")"),"")</f>
        <v/>
      </c>
      <c r="P161" s="4" t="s">
        <v>509</v>
      </c>
      <c r="Q161" s="4" t="s">
        <v>510</v>
      </c>
      <c r="S161" s="4" t="s">
        <v>103</v>
      </c>
      <c r="T161" s="4" t="s">
        <v>104</v>
      </c>
      <c r="X161" s="4" t="s">
        <v>177</v>
      </c>
    </row>
    <row r="162" ht="15.75" customHeight="1">
      <c r="A162" s="4" t="s">
        <v>517</v>
      </c>
      <c r="B162" s="4" t="s">
        <v>518</v>
      </c>
      <c r="C162" s="4" t="str">
        <f>IFERROR(__xludf.DUMMYFUNCTION("GOOGLETRANSLATE(B162, ""RO"", ""EN"")"),"... Vote with Corneliu Vadim Tudor")</f>
        <v>... Vote with Corneliu Vadim Tudor</v>
      </c>
      <c r="D162" s="5" t="str">
        <f>IFERROR(__xludf.DUMMYFUNCTION("IF(O162&lt;&gt;"""", GOOGLETRANSLATE(O162, ""RO"", ""EN""), """")"),"")</f>
        <v/>
      </c>
      <c r="E162" s="6" t="str">
        <f>IFERROR(__xludf.DUMMYFUNCTION("IF(P162&lt;&gt;"""", GOOGLETRANSLATE(P162, ""RO"", ""EN""), """")"),"Mentioned")</f>
        <v>Mentioned</v>
      </c>
      <c r="F162" s="5" t="str">
        <f>IFERROR(__xludf.DUMMYFUNCTION("IF(Q162&lt;&gt;"""", GOOGLETRANSLATE(Q162, ""RO"", ""EN""), """")"),"Not mentioned")</f>
        <v>Not mentioned</v>
      </c>
      <c r="G162" s="5" t="str">
        <f>IFERROR(__xludf.DUMMYFUNCTION("IF(R162&lt;&gt;"""", GOOGLETRANSLATE(R162, ""RO"", ""EN""), """")"),"")</f>
        <v/>
      </c>
      <c r="H162" s="5" t="str">
        <f>IFERROR(__xludf.DUMMYFUNCTION("IF(U162&lt;&gt;"""", GOOGLETRANSLATE(U162, ""RO"", ""EN""), """")"),"")</f>
        <v/>
      </c>
      <c r="I162" s="5" t="str">
        <f>IFERROR(__xludf.DUMMYFUNCTION("IF(V162&lt;&gt;"""", GOOGLETRANSLATE(V162, ""RO"", ""EN""), """")"),"")</f>
        <v/>
      </c>
      <c r="J162" s="5" t="str">
        <f>IFERROR(__xludf.DUMMYFUNCTION("IF(W162&lt;&gt;"""", GOOGLETRANSLATE(W162, ""RO"", ""EN""), """")"),"")</f>
        <v/>
      </c>
      <c r="K162" s="5" t="str">
        <f>IFERROR(__xludf.DUMMYFUNCTION("IF(X162&lt;&gt;"""", GOOGLETRANSLATE(X162, ""RO"", ""EN""), """")"),"Nc")</f>
        <v>Nc</v>
      </c>
      <c r="L162" s="5" t="str">
        <f>IFERROR(__xludf.DUMMYFUNCTION("IF(S162&lt;&gt;"""", GOOGLETRANSLATE(S162, ""RO"", ""EN""), """")"),"Ns")</f>
        <v>Ns</v>
      </c>
      <c r="M162" s="5" t="str">
        <f>IFERROR(__xludf.DUMMYFUNCTION("IF(T162&lt;&gt;"""", GOOGLETRANSLATE(T162, ""RO"", ""EN""), """")"),"No.")</f>
        <v>No.</v>
      </c>
      <c r="N162" s="5" t="str">
        <f>IFERROR(__xludf.DUMMYFUNCTION("IF(Y162&lt;&gt;"""", GOOGLETRANSLATE(Y162, ""RO"", ""EN""), """")"),"")</f>
        <v/>
      </c>
      <c r="P162" s="4" t="s">
        <v>509</v>
      </c>
      <c r="Q162" s="4" t="s">
        <v>510</v>
      </c>
      <c r="S162" s="4" t="s">
        <v>103</v>
      </c>
      <c r="T162" s="4" t="s">
        <v>104</v>
      </c>
      <c r="X162" s="4" t="s">
        <v>177</v>
      </c>
    </row>
    <row r="163" ht="15.75" customHeight="1">
      <c r="A163" s="4" t="s">
        <v>519</v>
      </c>
      <c r="B163" s="4" t="s">
        <v>520</v>
      </c>
      <c r="C163" s="4" t="str">
        <f>IFERROR(__xludf.DUMMYFUNCTION("GOOGLETRANSLATE(B163, ""RO"", ""EN"")"),"... Vote with Kelemen Hunor")</f>
        <v>... Vote with Kelemen Hunor</v>
      </c>
      <c r="D163" s="5" t="str">
        <f>IFERROR(__xludf.DUMMYFUNCTION("IF(O163&lt;&gt;"""", GOOGLETRANSLATE(O163, ""RO"", ""EN""), """")"),"")</f>
        <v/>
      </c>
      <c r="E163" s="6" t="str">
        <f>IFERROR(__xludf.DUMMYFUNCTION("IF(P163&lt;&gt;"""", GOOGLETRANSLATE(P163, ""RO"", ""EN""), """")"),"Mentioned")</f>
        <v>Mentioned</v>
      </c>
      <c r="F163" s="5" t="str">
        <f>IFERROR(__xludf.DUMMYFUNCTION("IF(Q163&lt;&gt;"""", GOOGLETRANSLATE(Q163, ""RO"", ""EN""), """")"),"Not mentioned")</f>
        <v>Not mentioned</v>
      </c>
      <c r="G163" s="5" t="str">
        <f>IFERROR(__xludf.DUMMYFUNCTION("IF(R163&lt;&gt;"""", GOOGLETRANSLATE(R163, ""RO"", ""EN""), """")"),"")</f>
        <v/>
      </c>
      <c r="H163" s="5" t="str">
        <f>IFERROR(__xludf.DUMMYFUNCTION("IF(U163&lt;&gt;"""", GOOGLETRANSLATE(U163, ""RO"", ""EN""), """")"),"")</f>
        <v/>
      </c>
      <c r="I163" s="5" t="str">
        <f>IFERROR(__xludf.DUMMYFUNCTION("IF(V163&lt;&gt;"""", GOOGLETRANSLATE(V163, ""RO"", ""EN""), """")"),"")</f>
        <v/>
      </c>
      <c r="J163" s="5" t="str">
        <f>IFERROR(__xludf.DUMMYFUNCTION("IF(W163&lt;&gt;"""", GOOGLETRANSLATE(W163, ""RO"", ""EN""), """")"),"")</f>
        <v/>
      </c>
      <c r="K163" s="5" t="str">
        <f>IFERROR(__xludf.DUMMYFUNCTION("IF(X163&lt;&gt;"""", GOOGLETRANSLATE(X163, ""RO"", ""EN""), """")"),"Nc")</f>
        <v>Nc</v>
      </c>
      <c r="L163" s="5" t="str">
        <f>IFERROR(__xludf.DUMMYFUNCTION("IF(S163&lt;&gt;"""", GOOGLETRANSLATE(S163, ""RO"", ""EN""), """")"),"Ns")</f>
        <v>Ns</v>
      </c>
      <c r="M163" s="5" t="str">
        <f>IFERROR(__xludf.DUMMYFUNCTION("IF(T163&lt;&gt;"""", GOOGLETRANSLATE(T163, ""RO"", ""EN""), """")"),"No.")</f>
        <v>No.</v>
      </c>
      <c r="N163" s="5" t="str">
        <f>IFERROR(__xludf.DUMMYFUNCTION("IF(Y163&lt;&gt;"""", GOOGLETRANSLATE(Y163, ""RO"", ""EN""), """")"),"")</f>
        <v/>
      </c>
      <c r="P163" s="4" t="s">
        <v>509</v>
      </c>
      <c r="Q163" s="4" t="s">
        <v>510</v>
      </c>
      <c r="S163" s="4" t="s">
        <v>103</v>
      </c>
      <c r="T163" s="4" t="s">
        <v>104</v>
      </c>
      <c r="X163" s="4" t="s">
        <v>177</v>
      </c>
    </row>
    <row r="164" ht="15.75" customHeight="1">
      <c r="A164" s="4" t="s">
        <v>521</v>
      </c>
      <c r="B164" s="4" t="s">
        <v>522</v>
      </c>
      <c r="C164" s="4" t="str">
        <f>IFERROR(__xludf.DUMMYFUNCTION("GOOGLETRANSLATE(B164, ""RO"", ""EN"")"),"... Vote with George Becali")</f>
        <v>... Vote with George Becali</v>
      </c>
      <c r="D164" s="5" t="str">
        <f>IFERROR(__xludf.DUMMYFUNCTION("IF(O164&lt;&gt;"""", GOOGLETRANSLATE(O164, ""RO"", ""EN""), """")"),"")</f>
        <v/>
      </c>
      <c r="E164" s="6" t="str">
        <f>IFERROR(__xludf.DUMMYFUNCTION("IF(P164&lt;&gt;"""", GOOGLETRANSLATE(P164, ""RO"", ""EN""), """")"),"Mentioned")</f>
        <v>Mentioned</v>
      </c>
      <c r="F164" s="5" t="str">
        <f>IFERROR(__xludf.DUMMYFUNCTION("IF(Q164&lt;&gt;"""", GOOGLETRANSLATE(Q164, ""RO"", ""EN""), """")"),"Not mentioned")</f>
        <v>Not mentioned</v>
      </c>
      <c r="G164" s="5" t="str">
        <f>IFERROR(__xludf.DUMMYFUNCTION("IF(R164&lt;&gt;"""", GOOGLETRANSLATE(R164, ""RO"", ""EN""), """")"),"")</f>
        <v/>
      </c>
      <c r="H164" s="5" t="str">
        <f>IFERROR(__xludf.DUMMYFUNCTION("IF(U164&lt;&gt;"""", GOOGLETRANSLATE(U164, ""RO"", ""EN""), """")"),"")</f>
        <v/>
      </c>
      <c r="I164" s="5" t="str">
        <f>IFERROR(__xludf.DUMMYFUNCTION("IF(V164&lt;&gt;"""", GOOGLETRANSLATE(V164, ""RO"", ""EN""), """")"),"")</f>
        <v/>
      </c>
      <c r="J164" s="5" t="str">
        <f>IFERROR(__xludf.DUMMYFUNCTION("IF(W164&lt;&gt;"""", GOOGLETRANSLATE(W164, ""RO"", ""EN""), """")"),"")</f>
        <v/>
      </c>
      <c r="K164" s="5" t="str">
        <f>IFERROR(__xludf.DUMMYFUNCTION("IF(X164&lt;&gt;"""", GOOGLETRANSLATE(X164, ""RO"", ""EN""), """")"),"Nc")</f>
        <v>Nc</v>
      </c>
      <c r="L164" s="5" t="str">
        <f>IFERROR(__xludf.DUMMYFUNCTION("IF(S164&lt;&gt;"""", GOOGLETRANSLATE(S164, ""RO"", ""EN""), """")"),"Ns")</f>
        <v>Ns</v>
      </c>
      <c r="M164" s="5" t="str">
        <f>IFERROR(__xludf.DUMMYFUNCTION("IF(T164&lt;&gt;"""", GOOGLETRANSLATE(T164, ""RO"", ""EN""), """")"),"No.")</f>
        <v>No.</v>
      </c>
      <c r="N164" s="5" t="str">
        <f>IFERROR(__xludf.DUMMYFUNCTION("IF(Y164&lt;&gt;"""", GOOGLETRANSLATE(Y164, ""RO"", ""EN""), """")"),"")</f>
        <v/>
      </c>
      <c r="P164" s="4" t="s">
        <v>509</v>
      </c>
      <c r="Q164" s="4" t="s">
        <v>510</v>
      </c>
      <c r="S164" s="4" t="s">
        <v>103</v>
      </c>
      <c r="T164" s="4" t="s">
        <v>104</v>
      </c>
      <c r="X164" s="4" t="s">
        <v>177</v>
      </c>
    </row>
    <row r="165" ht="15.75" customHeight="1">
      <c r="A165" s="4" t="s">
        <v>523</v>
      </c>
      <c r="B165" s="4" t="s">
        <v>524</v>
      </c>
      <c r="C165" s="4" t="str">
        <f>IFERROR(__xludf.DUMMYFUNCTION("GOOGLETRANSLATE(B165, ""RO"", ""EN"")"),"... vote with another candidate")</f>
        <v>... vote with another candidate</v>
      </c>
      <c r="D165" s="5" t="str">
        <f>IFERROR(__xludf.DUMMYFUNCTION("IF(O165&lt;&gt;"""", GOOGLETRANSLATE(O165, ""RO"", ""EN""), """")"),"")</f>
        <v/>
      </c>
      <c r="E165" s="6" t="str">
        <f>IFERROR(__xludf.DUMMYFUNCTION("IF(P165&lt;&gt;"""", GOOGLETRANSLATE(P165, ""RO"", ""EN""), """")"),"Mentioned")</f>
        <v>Mentioned</v>
      </c>
      <c r="F165" s="5" t="str">
        <f>IFERROR(__xludf.DUMMYFUNCTION("IF(Q165&lt;&gt;"""", GOOGLETRANSLATE(Q165, ""RO"", ""EN""), """")"),"Not mentioned")</f>
        <v>Not mentioned</v>
      </c>
      <c r="G165" s="5" t="str">
        <f>IFERROR(__xludf.DUMMYFUNCTION("IF(R165&lt;&gt;"""", GOOGLETRANSLATE(R165, ""RO"", ""EN""), """")"),"")</f>
        <v/>
      </c>
      <c r="H165" s="5" t="str">
        <f>IFERROR(__xludf.DUMMYFUNCTION("IF(U165&lt;&gt;"""", GOOGLETRANSLATE(U165, ""RO"", ""EN""), """")"),"")</f>
        <v/>
      </c>
      <c r="I165" s="5" t="str">
        <f>IFERROR(__xludf.DUMMYFUNCTION("IF(V165&lt;&gt;"""", GOOGLETRANSLATE(V165, ""RO"", ""EN""), """")"),"")</f>
        <v/>
      </c>
      <c r="J165" s="5" t="str">
        <f>IFERROR(__xludf.DUMMYFUNCTION("IF(W165&lt;&gt;"""", GOOGLETRANSLATE(W165, ""RO"", ""EN""), """")"),"")</f>
        <v/>
      </c>
      <c r="K165" s="5" t="str">
        <f>IFERROR(__xludf.DUMMYFUNCTION("IF(X165&lt;&gt;"""", GOOGLETRANSLATE(X165, ""RO"", ""EN""), """")"),"Nc")</f>
        <v>Nc</v>
      </c>
      <c r="L165" s="5" t="str">
        <f>IFERROR(__xludf.DUMMYFUNCTION("IF(S165&lt;&gt;"""", GOOGLETRANSLATE(S165, ""RO"", ""EN""), """")"),"Ns")</f>
        <v>Ns</v>
      </c>
      <c r="M165" s="5" t="str">
        <f>IFERROR(__xludf.DUMMYFUNCTION("IF(T165&lt;&gt;"""", GOOGLETRANSLATE(T165, ""RO"", ""EN""), """")"),"No.")</f>
        <v>No.</v>
      </c>
      <c r="N165" s="5" t="str">
        <f>IFERROR(__xludf.DUMMYFUNCTION("IF(Y165&lt;&gt;"""", GOOGLETRANSLATE(Y165, ""RO"", ""EN""), """")"),"")</f>
        <v/>
      </c>
      <c r="P165" s="4" t="s">
        <v>509</v>
      </c>
      <c r="Q165" s="4" t="s">
        <v>510</v>
      </c>
      <c r="S165" s="4" t="s">
        <v>103</v>
      </c>
      <c r="T165" s="4" t="s">
        <v>104</v>
      </c>
      <c r="X165" s="4" t="s">
        <v>177</v>
      </c>
    </row>
    <row r="166" ht="15.75" customHeight="1">
      <c r="A166" s="4" t="s">
        <v>525</v>
      </c>
      <c r="B166" s="4" t="s">
        <v>526</v>
      </c>
      <c r="C166" s="4" t="str">
        <f>IFERROR(__xludf.DUMMYFUNCTION("GOOGLETRANSLATE(B166, ""RO"", ""EN"")"),"... don't put the stamp on any candidate (white vote)")</f>
        <v>... don't put the stamp on any candidate (white vote)</v>
      </c>
      <c r="D166" s="5" t="str">
        <f>IFERROR(__xludf.DUMMYFUNCTION("IF(O166&lt;&gt;"""", GOOGLETRANSLATE(O166, ""RO"", ""EN""), """")"),"")</f>
        <v/>
      </c>
      <c r="E166" s="6" t="str">
        <f>IFERROR(__xludf.DUMMYFUNCTION("IF(P166&lt;&gt;"""", GOOGLETRANSLATE(P166, ""RO"", ""EN""), """")"),"Mentioned")</f>
        <v>Mentioned</v>
      </c>
      <c r="F166" s="5" t="str">
        <f>IFERROR(__xludf.DUMMYFUNCTION("IF(Q166&lt;&gt;"""", GOOGLETRANSLATE(Q166, ""RO"", ""EN""), """")"),"Not mentioned")</f>
        <v>Not mentioned</v>
      </c>
      <c r="G166" s="5" t="str">
        <f>IFERROR(__xludf.DUMMYFUNCTION("IF(R166&lt;&gt;"""", GOOGLETRANSLATE(R166, ""RO"", ""EN""), """")"),"")</f>
        <v/>
      </c>
      <c r="H166" s="5" t="str">
        <f>IFERROR(__xludf.DUMMYFUNCTION("IF(U166&lt;&gt;"""", GOOGLETRANSLATE(U166, ""RO"", ""EN""), """")"),"")</f>
        <v/>
      </c>
      <c r="I166" s="5" t="str">
        <f>IFERROR(__xludf.DUMMYFUNCTION("IF(V166&lt;&gt;"""", GOOGLETRANSLATE(V166, ""RO"", ""EN""), """")"),"")</f>
        <v/>
      </c>
      <c r="J166" s="5" t="str">
        <f>IFERROR(__xludf.DUMMYFUNCTION("IF(W166&lt;&gt;"""", GOOGLETRANSLATE(W166, ""RO"", ""EN""), """")"),"")</f>
        <v/>
      </c>
      <c r="K166" s="5" t="str">
        <f>IFERROR(__xludf.DUMMYFUNCTION("IF(X166&lt;&gt;"""", GOOGLETRANSLATE(X166, ""RO"", ""EN""), """")"),"Nc")</f>
        <v>Nc</v>
      </c>
      <c r="L166" s="5" t="str">
        <f>IFERROR(__xludf.DUMMYFUNCTION("IF(S166&lt;&gt;"""", GOOGLETRANSLATE(S166, ""RO"", ""EN""), """")"),"Ns")</f>
        <v>Ns</v>
      </c>
      <c r="M166" s="5" t="str">
        <f>IFERROR(__xludf.DUMMYFUNCTION("IF(T166&lt;&gt;"""", GOOGLETRANSLATE(T166, ""RO"", ""EN""), """")"),"No.")</f>
        <v>No.</v>
      </c>
      <c r="N166" s="5" t="str">
        <f>IFERROR(__xludf.DUMMYFUNCTION("IF(Y166&lt;&gt;"""", GOOGLETRANSLATE(Y166, ""RO"", ""EN""), """")"),"")</f>
        <v/>
      </c>
      <c r="P166" s="4" t="s">
        <v>509</v>
      </c>
      <c r="Q166" s="4" t="s">
        <v>510</v>
      </c>
      <c r="S166" s="4" t="s">
        <v>103</v>
      </c>
      <c r="T166" s="4" t="s">
        <v>104</v>
      </c>
      <c r="X166" s="4" t="s">
        <v>177</v>
      </c>
    </row>
    <row r="167" ht="15.75" customHeight="1">
      <c r="A167" s="4" t="s">
        <v>527</v>
      </c>
      <c r="B167" s="4" t="s">
        <v>528</v>
      </c>
      <c r="C167" s="4" t="str">
        <f>IFERROR(__xludf.DUMMYFUNCTION("GOOGLETRANSLATE(B167, ""RO"", ""EN"")"),"... to put the stamp on several candidates (vote canceled)")</f>
        <v>... to put the stamp on several candidates (vote canceled)</v>
      </c>
      <c r="D167" s="5" t="str">
        <f>IFERROR(__xludf.DUMMYFUNCTION("IF(O167&lt;&gt;"""", GOOGLETRANSLATE(O167, ""RO"", ""EN""), """")"),"")</f>
        <v/>
      </c>
      <c r="E167" s="6" t="str">
        <f>IFERROR(__xludf.DUMMYFUNCTION("IF(P167&lt;&gt;"""", GOOGLETRANSLATE(P167, ""RO"", ""EN""), """")"),"Mentioned")</f>
        <v>Mentioned</v>
      </c>
      <c r="F167" s="5" t="str">
        <f>IFERROR(__xludf.DUMMYFUNCTION("IF(Q167&lt;&gt;"""", GOOGLETRANSLATE(Q167, ""RO"", ""EN""), """")"),"Not mentioned")</f>
        <v>Not mentioned</v>
      </c>
      <c r="G167" s="5" t="str">
        <f>IFERROR(__xludf.DUMMYFUNCTION("IF(R167&lt;&gt;"""", GOOGLETRANSLATE(R167, ""RO"", ""EN""), """")"),"")</f>
        <v/>
      </c>
      <c r="H167" s="5" t="str">
        <f>IFERROR(__xludf.DUMMYFUNCTION("IF(U167&lt;&gt;"""", GOOGLETRANSLATE(U167, ""RO"", ""EN""), """")"),"")</f>
        <v/>
      </c>
      <c r="I167" s="5" t="str">
        <f>IFERROR(__xludf.DUMMYFUNCTION("IF(V167&lt;&gt;"""", GOOGLETRANSLATE(V167, ""RO"", ""EN""), """")"),"")</f>
        <v/>
      </c>
      <c r="J167" s="5" t="str">
        <f>IFERROR(__xludf.DUMMYFUNCTION("IF(W167&lt;&gt;"""", GOOGLETRANSLATE(W167, ""RO"", ""EN""), """")"),"")</f>
        <v/>
      </c>
      <c r="K167" s="5" t="str">
        <f>IFERROR(__xludf.DUMMYFUNCTION("IF(X167&lt;&gt;"""", GOOGLETRANSLATE(X167, ""RO"", ""EN""), """")"),"Nc")</f>
        <v>Nc</v>
      </c>
      <c r="L167" s="5" t="str">
        <f>IFERROR(__xludf.DUMMYFUNCTION("IF(S167&lt;&gt;"""", GOOGLETRANSLATE(S167, ""RO"", ""EN""), """")"),"Ns")</f>
        <v>Ns</v>
      </c>
      <c r="M167" s="5" t="str">
        <f>IFERROR(__xludf.DUMMYFUNCTION("IF(T167&lt;&gt;"""", GOOGLETRANSLATE(T167, ""RO"", ""EN""), """")"),"No.")</f>
        <v>No.</v>
      </c>
      <c r="N167" s="5" t="str">
        <f>IFERROR(__xludf.DUMMYFUNCTION("IF(Y167&lt;&gt;"""", GOOGLETRANSLATE(Y167, ""RO"", ""EN""), """")"),"")</f>
        <v/>
      </c>
      <c r="P167" s="4" t="s">
        <v>509</v>
      </c>
      <c r="Q167" s="4" t="s">
        <v>510</v>
      </c>
      <c r="S167" s="4" t="s">
        <v>103</v>
      </c>
      <c r="T167" s="4" t="s">
        <v>104</v>
      </c>
      <c r="X167" s="4" t="s">
        <v>177</v>
      </c>
    </row>
    <row r="168" ht="15.75" customHeight="1">
      <c r="A168" s="4" t="s">
        <v>529</v>
      </c>
      <c r="B168" s="4" t="s">
        <v>530</v>
      </c>
      <c r="C168" s="4" t="str">
        <f>IFERROR(__xludf.DUMMYFUNCTION("GOOGLETRANSLATE(B168, ""RO"", ""EN"")"),"... don't go to vote")</f>
        <v>... don't go to vote</v>
      </c>
      <c r="D168" s="5" t="str">
        <f>IFERROR(__xludf.DUMMYFUNCTION("IF(O168&lt;&gt;"""", GOOGLETRANSLATE(O168, ""RO"", ""EN""), """")"),"")</f>
        <v/>
      </c>
      <c r="E168" s="6" t="str">
        <f>IFERROR(__xludf.DUMMYFUNCTION("IF(P168&lt;&gt;"""", GOOGLETRANSLATE(P168, ""RO"", ""EN""), """")"),"Mentioned")</f>
        <v>Mentioned</v>
      </c>
      <c r="F168" s="5" t="str">
        <f>IFERROR(__xludf.DUMMYFUNCTION("IF(Q168&lt;&gt;"""", GOOGLETRANSLATE(Q168, ""RO"", ""EN""), """")"),"Not mentioned")</f>
        <v>Not mentioned</v>
      </c>
      <c r="G168" s="5" t="str">
        <f>IFERROR(__xludf.DUMMYFUNCTION("IF(R168&lt;&gt;"""", GOOGLETRANSLATE(R168, ""RO"", ""EN""), """")"),"")</f>
        <v/>
      </c>
      <c r="H168" s="5" t="str">
        <f>IFERROR(__xludf.DUMMYFUNCTION("IF(U168&lt;&gt;"""", GOOGLETRANSLATE(U168, ""RO"", ""EN""), """")"),"")</f>
        <v/>
      </c>
      <c r="I168" s="5" t="str">
        <f>IFERROR(__xludf.DUMMYFUNCTION("IF(V168&lt;&gt;"""", GOOGLETRANSLATE(V168, ""RO"", ""EN""), """")"),"")</f>
        <v/>
      </c>
      <c r="J168" s="5" t="str">
        <f>IFERROR(__xludf.DUMMYFUNCTION("IF(W168&lt;&gt;"""", GOOGLETRANSLATE(W168, ""RO"", ""EN""), """")"),"")</f>
        <v/>
      </c>
      <c r="K168" s="5" t="str">
        <f>IFERROR(__xludf.DUMMYFUNCTION("IF(X168&lt;&gt;"""", GOOGLETRANSLATE(X168, ""RO"", ""EN""), """")"),"Nc")</f>
        <v>Nc</v>
      </c>
      <c r="L168" s="5" t="str">
        <f>IFERROR(__xludf.DUMMYFUNCTION("IF(S168&lt;&gt;"""", GOOGLETRANSLATE(S168, ""RO"", ""EN""), """")"),"Ns")</f>
        <v>Ns</v>
      </c>
      <c r="M168" s="5" t="str">
        <f>IFERROR(__xludf.DUMMYFUNCTION("IF(T168&lt;&gt;"""", GOOGLETRANSLATE(T168, ""RO"", ""EN""), """")"),"No.")</f>
        <v>No.</v>
      </c>
      <c r="N168" s="5" t="str">
        <f>IFERROR(__xludf.DUMMYFUNCTION("IF(Y168&lt;&gt;"""", GOOGLETRANSLATE(Y168, ""RO"", ""EN""), """")"),"")</f>
        <v/>
      </c>
      <c r="P168" s="4" t="s">
        <v>509</v>
      </c>
      <c r="Q168" s="4" t="s">
        <v>510</v>
      </c>
      <c r="S168" s="4" t="s">
        <v>103</v>
      </c>
      <c r="T168" s="4" t="s">
        <v>104</v>
      </c>
      <c r="X168" s="4" t="s">
        <v>177</v>
      </c>
    </row>
    <row r="169" ht="15.75" customHeight="1">
      <c r="A169" s="4" t="s">
        <v>531</v>
      </c>
      <c r="C169" s="4" t="str">
        <f>IFERROR(__xludf.DUMMYFUNCTION("GOOGLETRANSLATE(B169, ""RO"", ""EN"")"),"#VALUE!")</f>
        <v>#VALUE!</v>
      </c>
      <c r="D169" s="5" t="str">
        <f>IFERROR(__xludf.DUMMYFUNCTION("IF(O169&lt;&gt;"""", GOOGLETRANSLATE(O169, ""RO"", ""EN""), """")"),"")</f>
        <v/>
      </c>
      <c r="E169" s="6" t="str">
        <f>IFERROR(__xludf.DUMMYFUNCTION("IF(P169&lt;&gt;"""", GOOGLETRANSLATE(P169, ""RO"", ""EN""), """")"),"")</f>
        <v/>
      </c>
      <c r="F169" s="5" t="str">
        <f>IFERROR(__xludf.DUMMYFUNCTION("IF(Q169&lt;&gt;"""", GOOGLETRANSLATE(Q169, ""RO"", ""EN""), """")"),"")</f>
        <v/>
      </c>
      <c r="G169" s="5" t="str">
        <f>IFERROR(__xludf.DUMMYFUNCTION("IF(R169&lt;&gt;"""", GOOGLETRANSLATE(R169, ""RO"", ""EN""), """")"),"")</f>
        <v/>
      </c>
      <c r="H169" s="5" t="str">
        <f>IFERROR(__xludf.DUMMYFUNCTION("IF(U169&lt;&gt;"""", GOOGLETRANSLATE(U169, ""RO"", ""EN""), """")"),"")</f>
        <v/>
      </c>
      <c r="I169" s="5" t="str">
        <f>IFERROR(__xludf.DUMMYFUNCTION("IF(V169&lt;&gt;"""", GOOGLETRANSLATE(V169, ""RO"", ""EN""), """")"),"")</f>
        <v/>
      </c>
      <c r="J169" s="5" t="str">
        <f>IFERROR(__xludf.DUMMYFUNCTION("IF(W169&lt;&gt;"""", GOOGLETRANSLATE(W169, ""RO"", ""EN""), """")"),"")</f>
        <v/>
      </c>
      <c r="K169" s="5" t="str">
        <f>IFERROR(__xludf.DUMMYFUNCTION("IF(X169&lt;&gt;"""", GOOGLETRANSLATE(X169, ""RO"", ""EN""), """")"),"")</f>
        <v/>
      </c>
      <c r="L169" s="5" t="str">
        <f>IFERROR(__xludf.DUMMYFUNCTION("IF(S169&lt;&gt;"""", GOOGLETRANSLATE(S169, ""RO"", ""EN""), """")"),"")</f>
        <v/>
      </c>
      <c r="M169" s="5" t="str">
        <f>IFERROR(__xludf.DUMMYFUNCTION("IF(T169&lt;&gt;"""", GOOGLETRANSLATE(T169, ""RO"", ""EN""), """")"),"")</f>
        <v/>
      </c>
      <c r="N169" s="5" t="str">
        <f>IFERROR(__xludf.DUMMYFUNCTION("IF(Y169&lt;&gt;"""", GOOGLETRANSLATE(Y169, ""RO"", ""EN""), """")"),"")</f>
        <v/>
      </c>
    </row>
    <row r="170" ht="15.75" customHeight="1">
      <c r="A170" s="4" t="s">
        <v>532</v>
      </c>
      <c r="C170" s="4" t="str">
        <f>IFERROR(__xludf.DUMMYFUNCTION("GOOGLETRANSLATE(B170, ""RO"", ""EN"")"),"#VALUE!")</f>
        <v>#VALUE!</v>
      </c>
      <c r="D170" s="5" t="str">
        <f>IFERROR(__xludf.DUMMYFUNCTION("IF(O170&lt;&gt;"""", GOOGLETRANSLATE(O170, ""RO"", ""EN""), """")"),"")</f>
        <v/>
      </c>
      <c r="E170" s="6" t="str">
        <f>IFERROR(__xludf.DUMMYFUNCTION("IF(P170&lt;&gt;"""", GOOGLETRANSLATE(P170, ""RO"", ""EN""), """")"),"")</f>
        <v/>
      </c>
      <c r="F170" s="5" t="str">
        <f>IFERROR(__xludf.DUMMYFUNCTION("IF(Q170&lt;&gt;"""", GOOGLETRANSLATE(Q170, ""RO"", ""EN""), """")"),"")</f>
        <v/>
      </c>
      <c r="G170" s="5" t="str">
        <f>IFERROR(__xludf.DUMMYFUNCTION("IF(R170&lt;&gt;"""", GOOGLETRANSLATE(R170, ""RO"", ""EN""), """")"),"")</f>
        <v/>
      </c>
      <c r="H170" s="5" t="str">
        <f>IFERROR(__xludf.DUMMYFUNCTION("IF(U170&lt;&gt;"""", GOOGLETRANSLATE(U170, ""RO"", ""EN""), """")"),"")</f>
        <v/>
      </c>
      <c r="I170" s="5" t="str">
        <f>IFERROR(__xludf.DUMMYFUNCTION("IF(V170&lt;&gt;"""", GOOGLETRANSLATE(V170, ""RO"", ""EN""), """")"),"")</f>
        <v/>
      </c>
      <c r="J170" s="5" t="str">
        <f>IFERROR(__xludf.DUMMYFUNCTION("IF(W170&lt;&gt;"""", GOOGLETRANSLATE(W170, ""RO"", ""EN""), """")"),"")</f>
        <v/>
      </c>
      <c r="K170" s="5" t="str">
        <f>IFERROR(__xludf.DUMMYFUNCTION("IF(X170&lt;&gt;"""", GOOGLETRANSLATE(X170, ""RO"", ""EN""), """")"),"")</f>
        <v/>
      </c>
      <c r="L170" s="5" t="str">
        <f>IFERROR(__xludf.DUMMYFUNCTION("IF(S170&lt;&gt;"""", GOOGLETRANSLATE(S170, ""RO"", ""EN""), """")"),"")</f>
        <v/>
      </c>
      <c r="M170" s="5" t="str">
        <f>IFERROR(__xludf.DUMMYFUNCTION("IF(T170&lt;&gt;"""", GOOGLETRANSLATE(T170, ""RO"", ""EN""), """")"),"")</f>
        <v/>
      </c>
      <c r="N170" s="5" t="str">
        <f>IFERROR(__xludf.DUMMYFUNCTION("IF(Y170&lt;&gt;"""", GOOGLETRANSLATE(Y170, ""RO"", ""EN""), """")"),"")</f>
        <v/>
      </c>
    </row>
    <row r="171" ht="15.75" customHeight="1">
      <c r="A171" s="4" t="s">
        <v>533</v>
      </c>
      <c r="B171" s="4" t="s">
        <v>534</v>
      </c>
      <c r="C171" s="4" t="str">
        <f>IFERROR(__xludf.DUMMYFUNCTION("GOOGLETRANSLATE(B171, ""RO"", ""EN"")"),"And yet, if you voted, which candidate would you give him to the presidential elections?")</f>
        <v>And yet, if you voted, which candidate would you give him to the presidential elections?</v>
      </c>
      <c r="D171" s="5" t="str">
        <f>IFERROR(__xludf.DUMMYFUNCTION("IF(O171&lt;&gt;"""", GOOGLETRANSLATE(O171, ""RO"", ""EN""), """")"),"")</f>
        <v/>
      </c>
      <c r="E171" s="6" t="str">
        <f>IFERROR(__xludf.DUMMYFUNCTION("IF(P171&lt;&gt;"""", GOOGLETRANSLATE(P171, ""RO"", ""EN""), """")"),"Mircea Geoana")</f>
        <v>Mircea Geoana</v>
      </c>
      <c r="F171" s="5" t="str">
        <f>IFERROR(__xludf.DUMMYFUNCTION("IF(Q171&lt;&gt;"""", GOOGLETRANSLATE(Q171, ""RO"", ""EN""), """")"),"Crin Antonescu")</f>
        <v>Crin Antonescu</v>
      </c>
      <c r="G171" s="5" t="str">
        <f>IFERROR(__xludf.DUMMYFUNCTION("IF(R171&lt;&gt;"""", GOOGLETRANSLATE(R171, ""RO"", ""EN""), """")"),"Traian Basescu")</f>
        <v>Traian Basescu</v>
      </c>
      <c r="H171" s="5" t="str">
        <f>IFERROR(__xludf.DUMMYFUNCTION("IF(U171&lt;&gt;"""", GOOGLETRANSLATE(U171, ""RO"", ""EN""), """")"),"Sorin Oprescu")</f>
        <v>Sorin Oprescu</v>
      </c>
      <c r="I171" s="5" t="str">
        <f>IFERROR(__xludf.DUMMYFUNCTION("IF(V171&lt;&gt;"""", GOOGLETRANSLATE(V171, ""RO"", ""EN""), """")"),"Corneliu Vadim Tudor")</f>
        <v>Corneliu Vadim Tudor</v>
      </c>
      <c r="J171" s="5" t="str">
        <f>IFERROR(__xludf.DUMMYFUNCTION("IF(W171&lt;&gt;"""", GOOGLETRANSLATE(W171, ""RO"", ""EN""), """")"),"Kelemen Hunor")</f>
        <v>Kelemen Hunor</v>
      </c>
      <c r="K171" s="5" t="str">
        <f>IFERROR(__xludf.DUMMYFUNCTION("IF(X171&lt;&gt;"""", GOOGLETRANSLATE(X171, ""RO"", ""EN""), """")"),"George Becali")</f>
        <v>George Becali</v>
      </c>
      <c r="L171" s="5" t="str">
        <f>IFERROR(__xludf.DUMMYFUNCTION("IF(S171&lt;&gt;"""", GOOGLETRANSLATE(S171, ""RO"", ""EN""), """")"),"Another candidate")</f>
        <v>Another candidate</v>
      </c>
      <c r="M171" s="5" t="str">
        <f>IFERROR(__xludf.DUMMYFUNCTION("IF(T171&lt;&gt;"""", GOOGLETRANSLATE(T171, ""RO"", ""EN""), """")"),"")</f>
        <v/>
      </c>
      <c r="N171" s="5" t="str">
        <f>IFERROR(__xludf.DUMMYFUNCTION("IF(Y171&lt;&gt;"""", GOOGLETRANSLATE(Y171, ""RO"", ""EN""), """")"),"")</f>
        <v/>
      </c>
      <c r="P171" s="4" t="s">
        <v>219</v>
      </c>
      <c r="Q171" s="4" t="s">
        <v>220</v>
      </c>
      <c r="R171" s="4" t="s">
        <v>221</v>
      </c>
      <c r="S171" s="4" t="s">
        <v>485</v>
      </c>
      <c r="U171" s="4" t="s">
        <v>223</v>
      </c>
      <c r="V171" s="4" t="s">
        <v>224</v>
      </c>
      <c r="W171" s="4" t="s">
        <v>225</v>
      </c>
      <c r="X171" s="4" t="s">
        <v>226</v>
      </c>
      <c r="Z171" s="4" t="s">
        <v>486</v>
      </c>
      <c r="AA171" s="4" t="s">
        <v>487</v>
      </c>
      <c r="AB171" s="4" t="s">
        <v>215</v>
      </c>
      <c r="AC171" s="4" t="s">
        <v>488</v>
      </c>
      <c r="AD171" s="4" t="s">
        <v>489</v>
      </c>
      <c r="AE171" s="4" t="s">
        <v>535</v>
      </c>
    </row>
    <row r="172" ht="15.75" customHeight="1">
      <c r="A172" s="4" t="s">
        <v>536</v>
      </c>
      <c r="B172" s="4" t="s">
        <v>537</v>
      </c>
      <c r="C172" s="4" t="str">
        <f>IFERROR(__xludf.DUMMYFUNCTION("GOOGLETRANSLATE(B172, ""RO"", ""EN"")"),"Who do you think will be the candidates who will reach the first two places in round 1 in the presidential elections? The first candidate")</f>
        <v>Who do you think will be the candidates who will reach the first two places in round 1 in the presidential elections? The first candidate</v>
      </c>
      <c r="D172" s="5" t="str">
        <f>IFERROR(__xludf.DUMMYFUNCTION("IF(O172&lt;&gt;"""", GOOGLETRANSLATE(O172, ""RO"", ""EN""), """")"),"")</f>
        <v/>
      </c>
      <c r="E172" s="6" t="str">
        <f>IFERROR(__xludf.DUMMYFUNCTION("IF(P172&lt;&gt;"""", GOOGLETRANSLATE(P172, ""RO"", ""EN""), """")"),"Mircea Geoana")</f>
        <v>Mircea Geoana</v>
      </c>
      <c r="F172" s="5" t="str">
        <f>IFERROR(__xludf.DUMMYFUNCTION("IF(Q172&lt;&gt;"""", GOOGLETRANSLATE(Q172, ""RO"", ""EN""), """")"),"Crin Antonescu")</f>
        <v>Crin Antonescu</v>
      </c>
      <c r="G172" s="5" t="str">
        <f>IFERROR(__xludf.DUMMYFUNCTION("IF(R172&lt;&gt;"""", GOOGLETRANSLATE(R172, ""RO"", ""EN""), """")"),"Traian Basescu")</f>
        <v>Traian Basescu</v>
      </c>
      <c r="H172" s="5" t="str">
        <f>IFERROR(__xludf.DUMMYFUNCTION("IF(U172&lt;&gt;"""", GOOGLETRANSLATE(U172, ""RO"", ""EN""), """")"),"Sorin Oprescu")</f>
        <v>Sorin Oprescu</v>
      </c>
      <c r="I172" s="5" t="str">
        <f>IFERROR(__xludf.DUMMYFUNCTION("IF(V172&lt;&gt;"""", GOOGLETRANSLATE(V172, ""RO"", ""EN""), """")"),"Corneliu Vadim Tudor")</f>
        <v>Corneliu Vadim Tudor</v>
      </c>
      <c r="J172" s="5" t="str">
        <f>IFERROR(__xludf.DUMMYFUNCTION("IF(W172&lt;&gt;"""", GOOGLETRANSLATE(W172, ""RO"", ""EN""), """")"),"Kelemen Hunor")</f>
        <v>Kelemen Hunor</v>
      </c>
      <c r="K172" s="5" t="str">
        <f>IFERROR(__xludf.DUMMYFUNCTION("IF(X172&lt;&gt;"""", GOOGLETRANSLATE(X172, ""RO"", ""EN""), """")"),"George Becali")</f>
        <v>George Becali</v>
      </c>
      <c r="L172" s="5" t="str">
        <f>IFERROR(__xludf.DUMMYFUNCTION("IF(S172&lt;&gt;"""", GOOGLETRANSLATE(S172, ""RO"", ""EN""), """")"),"Another candidate")</f>
        <v>Another candidate</v>
      </c>
      <c r="M172" s="5" t="str">
        <f>IFERROR(__xludf.DUMMYFUNCTION("IF(T172&lt;&gt;"""", GOOGLETRANSLATE(T172, ""RO"", ""EN""), """")"),"")</f>
        <v/>
      </c>
      <c r="N172" s="5" t="str">
        <f>IFERROR(__xludf.DUMMYFUNCTION("IF(Y172&lt;&gt;"""", GOOGLETRANSLATE(Y172, ""RO"", ""EN""), """")"),"")</f>
        <v/>
      </c>
      <c r="P172" s="4" t="s">
        <v>219</v>
      </c>
      <c r="Q172" s="4" t="s">
        <v>220</v>
      </c>
      <c r="R172" s="4" t="s">
        <v>221</v>
      </c>
      <c r="S172" s="4" t="s">
        <v>485</v>
      </c>
      <c r="U172" s="4" t="s">
        <v>223</v>
      </c>
      <c r="V172" s="4" t="s">
        <v>224</v>
      </c>
      <c r="W172" s="4" t="s">
        <v>225</v>
      </c>
      <c r="X172" s="4" t="s">
        <v>226</v>
      </c>
      <c r="AA172" s="4" t="s">
        <v>103</v>
      </c>
      <c r="AB172" s="4" t="s">
        <v>104</v>
      </c>
    </row>
    <row r="173" ht="15.75" customHeight="1">
      <c r="A173" s="4" t="s">
        <v>538</v>
      </c>
      <c r="B173" s="4" t="s">
        <v>539</v>
      </c>
      <c r="C173" s="4" t="str">
        <f>IFERROR(__xludf.DUMMYFUNCTION("GOOGLETRANSLATE(B173, ""RO"", ""EN"")"),"The second candidate")</f>
        <v>The second candidate</v>
      </c>
      <c r="D173" s="5" t="str">
        <f>IFERROR(__xludf.DUMMYFUNCTION("IF(O173&lt;&gt;"""", GOOGLETRANSLATE(O173, ""RO"", ""EN""), """")"),"")</f>
        <v/>
      </c>
      <c r="E173" s="6" t="str">
        <f>IFERROR(__xludf.DUMMYFUNCTION("IF(P173&lt;&gt;"""", GOOGLETRANSLATE(P173, ""RO"", ""EN""), """")"),"Mircea Geoana")</f>
        <v>Mircea Geoana</v>
      </c>
      <c r="F173" s="5" t="str">
        <f>IFERROR(__xludf.DUMMYFUNCTION("IF(Q173&lt;&gt;"""", GOOGLETRANSLATE(Q173, ""RO"", ""EN""), """")"),"Crin Antonescu")</f>
        <v>Crin Antonescu</v>
      </c>
      <c r="G173" s="5" t="str">
        <f>IFERROR(__xludf.DUMMYFUNCTION("IF(R173&lt;&gt;"""", GOOGLETRANSLATE(R173, ""RO"", ""EN""), """")"),"Traian Basescu")</f>
        <v>Traian Basescu</v>
      </c>
      <c r="H173" s="5" t="str">
        <f>IFERROR(__xludf.DUMMYFUNCTION("IF(U173&lt;&gt;"""", GOOGLETRANSLATE(U173, ""RO"", ""EN""), """")"),"Sorin Oprescu")</f>
        <v>Sorin Oprescu</v>
      </c>
      <c r="I173" s="5" t="str">
        <f>IFERROR(__xludf.DUMMYFUNCTION("IF(V173&lt;&gt;"""", GOOGLETRANSLATE(V173, ""RO"", ""EN""), """")"),"Corneliu Vadim Tudor")</f>
        <v>Corneliu Vadim Tudor</v>
      </c>
      <c r="J173" s="5" t="str">
        <f>IFERROR(__xludf.DUMMYFUNCTION("IF(W173&lt;&gt;"""", GOOGLETRANSLATE(W173, ""RO"", ""EN""), """")"),"Kelemen Hunor")</f>
        <v>Kelemen Hunor</v>
      </c>
      <c r="K173" s="5" t="str">
        <f>IFERROR(__xludf.DUMMYFUNCTION("IF(X173&lt;&gt;"""", GOOGLETRANSLATE(X173, ""RO"", ""EN""), """")"),"George Becali")</f>
        <v>George Becali</v>
      </c>
      <c r="L173" s="5" t="str">
        <f>IFERROR(__xludf.DUMMYFUNCTION("IF(S173&lt;&gt;"""", GOOGLETRANSLATE(S173, ""RO"", ""EN""), """")"),"Another candidate")</f>
        <v>Another candidate</v>
      </c>
      <c r="M173" s="5" t="str">
        <f>IFERROR(__xludf.DUMMYFUNCTION("IF(T173&lt;&gt;"""", GOOGLETRANSLATE(T173, ""RO"", ""EN""), """")"),"")</f>
        <v/>
      </c>
      <c r="N173" s="5" t="str">
        <f>IFERROR(__xludf.DUMMYFUNCTION("IF(Y173&lt;&gt;"""", GOOGLETRANSLATE(Y173, ""RO"", ""EN""), """")"),"")</f>
        <v/>
      </c>
      <c r="P173" s="4" t="s">
        <v>219</v>
      </c>
      <c r="Q173" s="4" t="s">
        <v>220</v>
      </c>
      <c r="R173" s="4" t="s">
        <v>221</v>
      </c>
      <c r="S173" s="4" t="s">
        <v>485</v>
      </c>
      <c r="U173" s="4" t="s">
        <v>223</v>
      </c>
      <c r="V173" s="4" t="s">
        <v>224</v>
      </c>
      <c r="W173" s="4" t="s">
        <v>225</v>
      </c>
      <c r="X173" s="4" t="s">
        <v>226</v>
      </c>
      <c r="Z173" s="4" t="s">
        <v>540</v>
      </c>
      <c r="AA173" s="4" t="s">
        <v>103</v>
      </c>
      <c r="AB173" s="4" t="s">
        <v>104</v>
      </c>
    </row>
    <row r="174" ht="15.75" customHeight="1">
      <c r="A174" s="4" t="s">
        <v>541</v>
      </c>
      <c r="B174" s="4" t="s">
        <v>542</v>
      </c>
      <c r="C174" s="4" t="str">
        <f>IFERROR(__xludf.DUMMYFUNCTION("GOOGLETRANSLATE(B174, ""RO"", ""EN"")"),"Suppose that no candidate will get enough votes to win from the first round and that Mircea Geoana and Traian Basescu will arrive. In these conditions will you go to the second round?")</f>
        <v>Suppose that no candidate will get enough votes to win from the first round and that Mircea Geoana and Traian Basescu will arrive. In these conditions will you go to the second round?</v>
      </c>
      <c r="D174" s="5" t="str">
        <f>IFERROR(__xludf.DUMMYFUNCTION("IF(O174&lt;&gt;"""", GOOGLETRANSLATE(O174, ""RO"", ""EN""), """")"),"")</f>
        <v/>
      </c>
      <c r="E174" s="6" t="str">
        <f>IFERROR(__xludf.DUMMYFUNCTION("IF(P174&lt;&gt;"""", GOOGLETRANSLATE(P174, ""RO"", ""EN""), """")"),"Mircea Geoana")</f>
        <v>Mircea Geoana</v>
      </c>
      <c r="F174" s="5" t="str">
        <f>IFERROR(__xludf.DUMMYFUNCTION("IF(Q174&lt;&gt;"""", GOOGLETRANSLATE(Q174, ""RO"", ""EN""), """")"),"Traian Basescu")</f>
        <v>Traian Basescu</v>
      </c>
      <c r="G174" s="5" t="str">
        <f>IFERROR(__xludf.DUMMYFUNCTION("IF(R174&lt;&gt;"""", GOOGLETRANSLATE(R174, ""RO"", ""EN""), """")"),"")</f>
        <v/>
      </c>
      <c r="H174" s="5" t="str">
        <f>IFERROR(__xludf.DUMMYFUNCTION("IF(U174&lt;&gt;"""", GOOGLETRANSLATE(U174, ""RO"", ""EN""), """")"),"")</f>
        <v/>
      </c>
      <c r="I174" s="5" t="str">
        <f>IFERROR(__xludf.DUMMYFUNCTION("IF(V174&lt;&gt;"""", GOOGLETRANSLATE(V174, ""RO"", ""EN""), """")"),"White vote")</f>
        <v>White vote</v>
      </c>
      <c r="J174" s="5" t="str">
        <f>IFERROR(__xludf.DUMMYFUNCTION("IF(W174&lt;&gt;"""", GOOGLETRANSLATE(W174, ""RO"", ""EN""), """")"),"I cancel the vote")</f>
        <v>I cancel the vote</v>
      </c>
      <c r="K174" s="5" t="str">
        <f>IFERROR(__xludf.DUMMYFUNCTION("IF(X174&lt;&gt;"""", GOOGLETRANSLATE(X174, ""RO"", ""EN""), """")"),"I don't go to vote")</f>
        <v>I don't go to vote</v>
      </c>
      <c r="L174" s="5" t="str">
        <f>IFERROR(__xludf.DUMMYFUNCTION("IF(S174&lt;&gt;"""", GOOGLETRANSLATE(S174, ""RO"", ""EN""), """")"),"I don't know, undecided")</f>
        <v>I don't know, undecided</v>
      </c>
      <c r="M174" s="5" t="str">
        <f>IFERROR(__xludf.DUMMYFUNCTION("IF(T174&lt;&gt;"""", GOOGLETRANSLATE(T174, ""RO"", ""EN""), """")"),"I do not answer")</f>
        <v>I do not answer</v>
      </c>
      <c r="N174" s="5" t="str">
        <f>IFERROR(__xludf.DUMMYFUNCTION("IF(Y174&lt;&gt;"""", GOOGLETRANSLATE(Y174, ""RO"", ""EN""), """")"),"")</f>
        <v/>
      </c>
      <c r="P174" s="4" t="s">
        <v>219</v>
      </c>
      <c r="Q174" s="4" t="s">
        <v>221</v>
      </c>
      <c r="S174" s="4" t="s">
        <v>543</v>
      </c>
      <c r="T174" s="4" t="s">
        <v>215</v>
      </c>
      <c r="V174" s="4" t="s">
        <v>488</v>
      </c>
      <c r="W174" s="4" t="s">
        <v>544</v>
      </c>
      <c r="X174" s="4" t="s">
        <v>545</v>
      </c>
    </row>
    <row r="175" ht="15.75" customHeight="1">
      <c r="A175" s="4" t="s">
        <v>546</v>
      </c>
      <c r="B175" s="4" t="s">
        <v>547</v>
      </c>
      <c r="C175" s="4" t="str">
        <f>IFERROR(__xludf.DUMMYFUNCTION("GOOGLETRANSLATE(B175, ""RO"", ""EN"")"),"Suppose that no candidate will get enough votes to win from the first round and that Crin Antonescu and Traian Basescu will reach the second round. In these conditions will you go to the second round?")</f>
        <v>Suppose that no candidate will get enough votes to win from the first round and that Crin Antonescu and Traian Basescu will reach the second round. In these conditions will you go to the second round?</v>
      </c>
      <c r="D175" s="5" t="str">
        <f>IFERROR(__xludf.DUMMYFUNCTION("IF(O175&lt;&gt;"""", GOOGLETRANSLATE(O175, ""RO"", ""EN""), """")"),"")</f>
        <v/>
      </c>
      <c r="E175" s="6" t="str">
        <f>IFERROR(__xludf.DUMMYFUNCTION("IF(P175&lt;&gt;"""", GOOGLETRANSLATE(P175, ""RO"", ""EN""), """")"),"Crin Antonescu")</f>
        <v>Crin Antonescu</v>
      </c>
      <c r="F175" s="5" t="str">
        <f>IFERROR(__xludf.DUMMYFUNCTION("IF(Q175&lt;&gt;"""", GOOGLETRANSLATE(Q175, ""RO"", ""EN""), """")"),"Traian Basescu")</f>
        <v>Traian Basescu</v>
      </c>
      <c r="G175" s="5" t="str">
        <f>IFERROR(__xludf.DUMMYFUNCTION("IF(R175&lt;&gt;"""", GOOGLETRANSLATE(R175, ""RO"", ""EN""), """")"),"")</f>
        <v/>
      </c>
      <c r="H175" s="5" t="str">
        <f>IFERROR(__xludf.DUMMYFUNCTION("IF(U175&lt;&gt;"""", GOOGLETRANSLATE(U175, ""RO"", ""EN""), """")"),"")</f>
        <v/>
      </c>
      <c r="I175" s="5" t="str">
        <f>IFERROR(__xludf.DUMMYFUNCTION("IF(V175&lt;&gt;"""", GOOGLETRANSLATE(V175, ""RO"", ""EN""), """")"),"White vote")</f>
        <v>White vote</v>
      </c>
      <c r="J175" s="5" t="str">
        <f>IFERROR(__xludf.DUMMYFUNCTION("IF(W175&lt;&gt;"""", GOOGLETRANSLATE(W175, ""RO"", ""EN""), """")"),"I cancel the vote")</f>
        <v>I cancel the vote</v>
      </c>
      <c r="K175" s="5" t="str">
        <f>IFERROR(__xludf.DUMMYFUNCTION("IF(X175&lt;&gt;"""", GOOGLETRANSLATE(X175, ""RO"", ""EN""), """")"),"I don't go to vote")</f>
        <v>I don't go to vote</v>
      </c>
      <c r="L175" s="5" t="str">
        <f>IFERROR(__xludf.DUMMYFUNCTION("IF(S175&lt;&gt;"""", GOOGLETRANSLATE(S175, ""RO"", ""EN""), """")"),"I don't know, undecided")</f>
        <v>I don't know, undecided</v>
      </c>
      <c r="M175" s="5" t="str">
        <f>IFERROR(__xludf.DUMMYFUNCTION("IF(T175&lt;&gt;"""", GOOGLETRANSLATE(T175, ""RO"", ""EN""), """")"),"I do not answer")</f>
        <v>I do not answer</v>
      </c>
      <c r="N175" s="5" t="str">
        <f>IFERROR(__xludf.DUMMYFUNCTION("IF(Y175&lt;&gt;"""", GOOGLETRANSLATE(Y175, ""RO"", ""EN""), """")"),"")</f>
        <v/>
      </c>
      <c r="P175" s="4" t="s">
        <v>220</v>
      </c>
      <c r="Q175" s="4" t="s">
        <v>221</v>
      </c>
      <c r="S175" s="4" t="s">
        <v>543</v>
      </c>
      <c r="T175" s="4" t="s">
        <v>215</v>
      </c>
      <c r="V175" s="4" t="s">
        <v>488</v>
      </c>
      <c r="W175" s="4" t="s">
        <v>544</v>
      </c>
      <c r="X175" s="4" t="s">
        <v>545</v>
      </c>
    </row>
    <row r="176" ht="15.75" customHeight="1">
      <c r="A176" s="4" t="s">
        <v>548</v>
      </c>
      <c r="B176" s="4" t="s">
        <v>549</v>
      </c>
      <c r="C176" s="4" t="str">
        <f>IFERROR(__xludf.DUMMYFUNCTION("GOOGLETRANSLATE(B176, ""RO"", ""EN"")"),"Suppose that no candidate will get enough votes to win from the first round and that Mircea Geoana and Crin Antonescu will arrive. In these conditions will you go to the second round?")</f>
        <v>Suppose that no candidate will get enough votes to win from the first round and that Mircea Geoana and Crin Antonescu will arrive. In these conditions will you go to the second round?</v>
      </c>
      <c r="D176" s="5" t="str">
        <f>IFERROR(__xludf.DUMMYFUNCTION("IF(O176&lt;&gt;"""", GOOGLETRANSLATE(O176, ""RO"", ""EN""), """")"),"")</f>
        <v/>
      </c>
      <c r="E176" s="6" t="str">
        <f>IFERROR(__xludf.DUMMYFUNCTION("IF(P176&lt;&gt;"""", GOOGLETRANSLATE(P176, ""RO"", ""EN""), """")"),"Mircea Geoana")</f>
        <v>Mircea Geoana</v>
      </c>
      <c r="F176" s="5" t="str">
        <f>IFERROR(__xludf.DUMMYFUNCTION("IF(Q176&lt;&gt;"""", GOOGLETRANSLATE(Q176, ""RO"", ""EN""), """")"),"Crin Antonescu")</f>
        <v>Crin Antonescu</v>
      </c>
      <c r="G176" s="5" t="str">
        <f>IFERROR(__xludf.DUMMYFUNCTION("IF(R176&lt;&gt;"""", GOOGLETRANSLATE(R176, ""RO"", ""EN""), """")"),"")</f>
        <v/>
      </c>
      <c r="H176" s="5" t="str">
        <f>IFERROR(__xludf.DUMMYFUNCTION("IF(U176&lt;&gt;"""", GOOGLETRANSLATE(U176, ""RO"", ""EN""), """")"),"")</f>
        <v/>
      </c>
      <c r="I176" s="5" t="str">
        <f>IFERROR(__xludf.DUMMYFUNCTION("IF(V176&lt;&gt;"""", GOOGLETRANSLATE(V176, ""RO"", ""EN""), """")"),"White vote")</f>
        <v>White vote</v>
      </c>
      <c r="J176" s="5" t="str">
        <f>IFERROR(__xludf.DUMMYFUNCTION("IF(W176&lt;&gt;"""", GOOGLETRANSLATE(W176, ""RO"", ""EN""), """")"),"I cancel the vote")</f>
        <v>I cancel the vote</v>
      </c>
      <c r="K176" s="5" t="str">
        <f>IFERROR(__xludf.DUMMYFUNCTION("IF(X176&lt;&gt;"""", GOOGLETRANSLATE(X176, ""RO"", ""EN""), """")"),"I don't go to vote")</f>
        <v>I don't go to vote</v>
      </c>
      <c r="L176" s="5" t="str">
        <f>IFERROR(__xludf.DUMMYFUNCTION("IF(S176&lt;&gt;"""", GOOGLETRANSLATE(S176, ""RO"", ""EN""), """")"),"I don't know, undecided")</f>
        <v>I don't know, undecided</v>
      </c>
      <c r="M176" s="5" t="str">
        <f>IFERROR(__xludf.DUMMYFUNCTION("IF(T176&lt;&gt;"""", GOOGLETRANSLATE(T176, ""RO"", ""EN""), """")"),"I do not answer")</f>
        <v>I do not answer</v>
      </c>
      <c r="N176" s="5" t="str">
        <f>IFERROR(__xludf.DUMMYFUNCTION("IF(Y176&lt;&gt;"""", GOOGLETRANSLATE(Y176, ""RO"", ""EN""), """")"),"")</f>
        <v/>
      </c>
      <c r="P176" s="4" t="s">
        <v>219</v>
      </c>
      <c r="Q176" s="4" t="s">
        <v>220</v>
      </c>
      <c r="S176" s="4" t="s">
        <v>543</v>
      </c>
      <c r="T176" s="4" t="s">
        <v>215</v>
      </c>
      <c r="V176" s="4" t="s">
        <v>488</v>
      </c>
      <c r="W176" s="4" t="s">
        <v>544</v>
      </c>
      <c r="X176" s="4" t="s">
        <v>545</v>
      </c>
    </row>
    <row r="177" ht="15.75" customHeight="1">
      <c r="A177" s="4" t="s">
        <v>550</v>
      </c>
      <c r="B177" s="4" t="s">
        <v>551</v>
      </c>
      <c r="C177" s="4" t="str">
        <f>IFERROR(__xludf.DUMMYFUNCTION("GOOGLETRANSLATE(B177, ""RO"", ""EN"")"),"How big do you think will be the difference between the winner and the defeat in the 2nd round of the presidential elections?")</f>
        <v>How big do you think will be the difference between the winner and the defeat in the 2nd round of the presidential elections?</v>
      </c>
      <c r="D177" s="5" t="str">
        <f>IFERROR(__xludf.DUMMYFUNCTION("IF(O177&lt;&gt;"""", GOOGLETRANSLATE(O177, ""RO"", ""EN""), """")"),"")</f>
        <v/>
      </c>
      <c r="E177" s="6" t="str">
        <f>IFERROR(__xludf.DUMMYFUNCTION("IF(P177&lt;&gt;"""", GOOGLETRANSLATE(P177, ""RO"", ""EN""), """")"),"Very small")</f>
        <v>Very small</v>
      </c>
      <c r="F177" s="5" t="str">
        <f>IFERROR(__xludf.DUMMYFUNCTION("IF(Q177&lt;&gt;"""", GOOGLETRANSLATE(Q177, ""RO"", ""EN""), """")"),"Classified")</f>
        <v>Classified</v>
      </c>
      <c r="G177" s="5" t="str">
        <f>IFERROR(__xludf.DUMMYFUNCTION("IF(R177&lt;&gt;"""", GOOGLETRANSLATE(R177, ""RO"", ""EN""), """")"),"Big")</f>
        <v>Big</v>
      </c>
      <c r="H177" s="5" t="str">
        <f>IFERROR(__xludf.DUMMYFUNCTION("IF(U177&lt;&gt;"""", GOOGLETRANSLATE(U177, ""RO"", ""EN""), """")"),"Very big")</f>
        <v>Very big</v>
      </c>
      <c r="I177" s="5" t="str">
        <f>IFERROR(__xludf.DUMMYFUNCTION("IF(V177&lt;&gt;"""", GOOGLETRANSLATE(V177, ""RO"", ""EN""), """")"),"")</f>
        <v/>
      </c>
      <c r="J177" s="5" t="str">
        <f>IFERROR(__xludf.DUMMYFUNCTION("IF(W177&lt;&gt;"""", GOOGLETRANSLATE(W177, ""RO"", ""EN""), """")"),"")</f>
        <v/>
      </c>
      <c r="K177" s="5" t="str">
        <f>IFERROR(__xludf.DUMMYFUNCTION("IF(X177&lt;&gt;"""", GOOGLETRANSLATE(X177, ""RO"", ""EN""), """")"),"")</f>
        <v/>
      </c>
      <c r="L177" s="5" t="str">
        <f>IFERROR(__xludf.DUMMYFUNCTION("IF(S177&lt;&gt;"""", GOOGLETRANSLATE(S177, ""RO"", ""EN""), """")"),"Ns")</f>
        <v>Ns</v>
      </c>
      <c r="M177" s="5" t="str">
        <f>IFERROR(__xludf.DUMMYFUNCTION("IF(T177&lt;&gt;"""", GOOGLETRANSLATE(T177, ""RO"", ""EN""), """")"),"No.")</f>
        <v>No.</v>
      </c>
      <c r="N177" s="5" t="str">
        <f>IFERROR(__xludf.DUMMYFUNCTION("IF(Y177&lt;&gt;"""", GOOGLETRANSLATE(Y177, ""RO"", ""EN""), """")"),"")</f>
        <v/>
      </c>
      <c r="P177" s="4" t="s">
        <v>552</v>
      </c>
      <c r="Q177" s="4" t="s">
        <v>553</v>
      </c>
      <c r="R177" s="4" t="s">
        <v>554</v>
      </c>
      <c r="S177" s="4" t="s">
        <v>103</v>
      </c>
      <c r="T177" s="4" t="s">
        <v>104</v>
      </c>
      <c r="U177" s="4" t="s">
        <v>555</v>
      </c>
    </row>
    <row r="178" ht="15.75" customHeight="1">
      <c r="A178" s="4" t="s">
        <v>556</v>
      </c>
      <c r="B178" s="4" t="s">
        <v>557</v>
      </c>
      <c r="C178" s="4" t="str">
        <f>IFERROR(__xludf.DUMMYFUNCTION("GOOGLETRANSLATE(B178, ""RO"", ""EN"")"),"Some people vote for other candidates than those they prefer, thinking that they have a higher chance of winning. Regardless of the candidate you will vote, who would you prefer as president?")</f>
        <v>Some people vote for other candidates than those they prefer, thinking that they have a higher chance of winning. Regardless of the candidate you will vote, who would you prefer as president?</v>
      </c>
      <c r="D178" s="5" t="str">
        <f>IFERROR(__xludf.DUMMYFUNCTION("IF(O178&lt;&gt;"""", GOOGLETRANSLATE(O178, ""RO"", ""EN""), """")"),"")</f>
        <v/>
      </c>
      <c r="E178" s="6" t="str">
        <f>IFERROR(__xludf.DUMMYFUNCTION("IF(P178&lt;&gt;"""", GOOGLETRANSLATE(P178, ""RO"", ""EN""), """")"),"Mircea Geoana")</f>
        <v>Mircea Geoana</v>
      </c>
      <c r="F178" s="5" t="str">
        <f>IFERROR(__xludf.DUMMYFUNCTION("IF(Q178&lt;&gt;"""", GOOGLETRANSLATE(Q178, ""RO"", ""EN""), """")"),"Crin Antonescu")</f>
        <v>Crin Antonescu</v>
      </c>
      <c r="G178" s="5" t="str">
        <f>IFERROR(__xludf.DUMMYFUNCTION("IF(R178&lt;&gt;"""", GOOGLETRANSLATE(R178, ""RO"", ""EN""), """")"),"Traian Basescu")</f>
        <v>Traian Basescu</v>
      </c>
      <c r="H178" s="5" t="str">
        <f>IFERROR(__xludf.DUMMYFUNCTION("IF(U178&lt;&gt;"""", GOOGLETRANSLATE(U178, ""RO"", ""EN""), """")"),"Sorin Oprescu")</f>
        <v>Sorin Oprescu</v>
      </c>
      <c r="I178" s="5" t="str">
        <f>IFERROR(__xludf.DUMMYFUNCTION("IF(V178&lt;&gt;"""", GOOGLETRANSLATE(V178, ""RO"", ""EN""), """")"),"Corneliu Vadim Tudor")</f>
        <v>Corneliu Vadim Tudor</v>
      </c>
      <c r="J178" s="5" t="str">
        <f>IFERROR(__xludf.DUMMYFUNCTION("IF(W178&lt;&gt;"""", GOOGLETRANSLATE(W178, ""RO"", ""EN""), """")"),"Kelemen Hunor")</f>
        <v>Kelemen Hunor</v>
      </c>
      <c r="K178" s="5" t="str">
        <f>IFERROR(__xludf.DUMMYFUNCTION("IF(X178&lt;&gt;"""", GOOGLETRANSLATE(X178, ""RO"", ""EN""), """")"),"George Becali")</f>
        <v>George Becali</v>
      </c>
      <c r="L178" s="5" t="str">
        <f>IFERROR(__xludf.DUMMYFUNCTION("IF(S178&lt;&gt;"""", GOOGLETRANSLATE(S178, ""RO"", ""EN""), """")"),"Another candidate among those who are applying now")</f>
        <v>Another candidate among those who are applying now</v>
      </c>
      <c r="M178" s="5" t="str">
        <f>IFERROR(__xludf.DUMMYFUNCTION("IF(T178&lt;&gt;"""", GOOGLETRANSLATE(T178, ""RO"", ""EN""), """")"),"None of those who are applying now")</f>
        <v>None of those who are applying now</v>
      </c>
      <c r="N178" s="5" t="str">
        <f>IFERROR(__xludf.DUMMYFUNCTION("IF(Y178&lt;&gt;"""", GOOGLETRANSLATE(Y178, ""RO"", ""EN""), """")"),"")</f>
        <v/>
      </c>
      <c r="P178" s="4" t="s">
        <v>219</v>
      </c>
      <c r="Q178" s="4" t="s">
        <v>220</v>
      </c>
      <c r="R178" s="4" t="s">
        <v>221</v>
      </c>
      <c r="S178" s="4" t="s">
        <v>558</v>
      </c>
      <c r="T178" s="4" t="s">
        <v>559</v>
      </c>
      <c r="U178" s="4" t="s">
        <v>223</v>
      </c>
      <c r="V178" s="4" t="s">
        <v>224</v>
      </c>
      <c r="W178" s="4" t="s">
        <v>225</v>
      </c>
      <c r="X178" s="4" t="s">
        <v>226</v>
      </c>
      <c r="AA178" s="4" t="s">
        <v>103</v>
      </c>
      <c r="AB178" s="4" t="s">
        <v>104</v>
      </c>
    </row>
    <row r="179" ht="15.75" customHeight="1">
      <c r="A179" s="4" t="s">
        <v>560</v>
      </c>
      <c r="B179" s="4" t="s">
        <v>561</v>
      </c>
      <c r="C179" s="4" t="str">
        <f>IFERROR(__xludf.DUMMYFUNCTION("GOOGLETRANSLATE(B179, ""RO"", ""EN"")"),"If next Sunday there were parliamentary elections, with the candidates to whom you voted?")</f>
        <v>If next Sunday there were parliamentary elections, with the candidates to whom you voted?</v>
      </c>
      <c r="D179" s="5" t="str">
        <f>IFERROR(__xludf.DUMMYFUNCTION("IF(O179&lt;&gt;"""", GOOGLETRANSLATE(O179, ""RO"", ""EN""), """")"),"")</f>
        <v/>
      </c>
      <c r="E179" s="6" t="str">
        <f>IFERROR(__xludf.DUMMYFUNCTION("IF(P179&lt;&gt;"""", GOOGLETRANSLATE(P179, ""RO"", ""EN""), """")"),"National Liberal Party (PNL)")</f>
        <v>National Liberal Party (PNL)</v>
      </c>
      <c r="F179" s="5" t="str">
        <f>IFERROR(__xludf.DUMMYFUNCTION("IF(Q179&lt;&gt;"""", GOOGLETRANSLATE(Q179, ""RO"", ""EN""), """")"),"The Social Democratic Party (PSD)")</f>
        <v>The Social Democratic Party (PSD)</v>
      </c>
      <c r="G179" s="5" t="str">
        <f>IFERROR(__xludf.DUMMYFUNCTION("IF(R179&lt;&gt;"""", GOOGLETRANSLATE(R179, ""RO"", ""EN""), """")"),"Liberal Democratic Party (PD-L)")</f>
        <v>Liberal Democratic Party (PD-L)</v>
      </c>
      <c r="H179" s="5" t="str">
        <f>IFERROR(__xludf.DUMMYFUNCTION("IF(U179&lt;&gt;"""", GOOGLETRANSLATE(U179, ""RO"", ""EN""), """")"),"The Democratic Union of Hungarians in Romania (UDMR)")</f>
        <v>The Democratic Union of Hungarians in Romania (UDMR)</v>
      </c>
      <c r="I179" s="5" t="str">
        <f>IFERROR(__xludf.DUMMYFUNCTION("IF(V179&lt;&gt;"""", GOOGLETRANSLATE(V179, ""RO"", ""EN""), """")"),"The new generation party - Democratic Christian (PNG -CD)")</f>
        <v>The new generation party - Democratic Christian (PNG -CD)</v>
      </c>
      <c r="J179" s="5" t="str">
        <f>IFERROR(__xludf.DUMMYFUNCTION("IF(W179&lt;&gt;"""", GOOGLETRANSLATE(W179, ""RO"", ""EN""), """")"),"The Party of Romania Great (PRM)")</f>
        <v>The Party of Romania Great (PRM)</v>
      </c>
      <c r="K179" s="5" t="str">
        <f>IFERROR(__xludf.DUMMYFUNCTION("IF(X179&lt;&gt;"""", GOOGLETRANSLATE(X179, ""RO"", ""EN""), """")"),"Conservative Party (PC)")</f>
        <v>Conservative Party (PC)</v>
      </c>
      <c r="L179" s="5" t="str">
        <f>IFERROR(__xludf.DUMMYFUNCTION("IF(S179&lt;&gt;"""", GOOGLETRANSLATE(S179, ""RO"", ""EN""), """")"),"Another party. Which?")</f>
        <v>Another party. Which?</v>
      </c>
      <c r="M179" s="5" t="str">
        <f>IFERROR(__xludf.DUMMYFUNCTION("IF(T179&lt;&gt;"""", GOOGLETRANSLATE(T179, ""RO"", ""EN""), """")"),"")</f>
        <v/>
      </c>
      <c r="N179" s="5" t="str">
        <f>IFERROR(__xludf.DUMMYFUNCTION("IF(Y179&lt;&gt;"""", GOOGLETRANSLATE(Y179, ""RO"", ""EN""), """")"),"")</f>
        <v/>
      </c>
      <c r="P179" s="4" t="s">
        <v>205</v>
      </c>
      <c r="Q179" s="4" t="s">
        <v>206</v>
      </c>
      <c r="R179" s="4" t="s">
        <v>207</v>
      </c>
      <c r="S179" s="4" t="s">
        <v>208</v>
      </c>
      <c r="U179" s="4" t="s">
        <v>562</v>
      </c>
      <c r="V179" s="4" t="s">
        <v>211</v>
      </c>
      <c r="W179" s="4" t="s">
        <v>563</v>
      </c>
      <c r="X179" s="4" t="s">
        <v>213</v>
      </c>
      <c r="Z179" s="4" t="s">
        <v>564</v>
      </c>
      <c r="AA179" s="4" t="s">
        <v>565</v>
      </c>
      <c r="AB179" s="4" t="s">
        <v>215</v>
      </c>
      <c r="AC179" s="4" t="s">
        <v>488</v>
      </c>
      <c r="AD179" s="4" t="s">
        <v>566</v>
      </c>
    </row>
    <row r="180" ht="15.75" customHeight="1">
      <c r="A180" s="4" t="s">
        <v>567</v>
      </c>
      <c r="B180" s="4" t="s">
        <v>208</v>
      </c>
      <c r="C180" s="4" t="str">
        <f>IFERROR(__xludf.DUMMYFUNCTION("GOOGLETRANSLATE(B180, ""RO"", ""EN"")"),"Another party. Which?")</f>
        <v>Another party. Which?</v>
      </c>
      <c r="D180" s="5" t="str">
        <f>IFERROR(__xludf.DUMMYFUNCTION("IF(O180&lt;&gt;"""", GOOGLETRANSLATE(O180, ""RO"", ""EN""), """")"),"")</f>
        <v/>
      </c>
      <c r="E180" s="6" t="str">
        <f>IFERROR(__xludf.DUMMYFUNCTION("IF(P180&lt;&gt;"""", GOOGLETRANSLATE(P180, ""RO"", ""EN""), """")"),"")</f>
        <v/>
      </c>
      <c r="F180" s="5" t="str">
        <f>IFERROR(__xludf.DUMMYFUNCTION("IF(Q180&lt;&gt;"""", GOOGLETRANSLATE(Q180, ""RO"", ""EN""), """")"),"")</f>
        <v/>
      </c>
      <c r="G180" s="5" t="str">
        <f>IFERROR(__xludf.DUMMYFUNCTION("IF(R180&lt;&gt;"""", GOOGLETRANSLATE(R180, ""RO"", ""EN""), """")"),"")</f>
        <v/>
      </c>
      <c r="H180" s="5" t="str">
        <f>IFERROR(__xludf.DUMMYFUNCTION("IF(U180&lt;&gt;"""", GOOGLETRANSLATE(U180, ""RO"", ""EN""), """")"),"")</f>
        <v/>
      </c>
      <c r="I180" s="5" t="str">
        <f>IFERROR(__xludf.DUMMYFUNCTION("IF(V180&lt;&gt;"""", GOOGLETRANSLATE(V180, ""RO"", ""EN""), """")"),"")</f>
        <v/>
      </c>
      <c r="J180" s="5" t="str">
        <f>IFERROR(__xludf.DUMMYFUNCTION("IF(W180&lt;&gt;"""", GOOGLETRANSLATE(W180, ""RO"", ""EN""), """")"),"")</f>
        <v/>
      </c>
      <c r="K180" s="5" t="str">
        <f>IFERROR(__xludf.DUMMYFUNCTION("IF(X180&lt;&gt;"""", GOOGLETRANSLATE(X180, ""RO"", ""EN""), """")"),"")</f>
        <v/>
      </c>
      <c r="L180" s="5" t="str">
        <f>IFERROR(__xludf.DUMMYFUNCTION("IF(S180&lt;&gt;"""", GOOGLETRANSLATE(S180, ""RO"", ""EN""), """")"),"")</f>
        <v/>
      </c>
      <c r="M180" s="5" t="str">
        <f>IFERROR(__xludf.DUMMYFUNCTION("IF(T180&lt;&gt;"""", GOOGLETRANSLATE(T180, ""RO"", ""EN""), """")"),"")</f>
        <v/>
      </c>
      <c r="N180" s="5" t="str">
        <f>IFERROR(__xludf.DUMMYFUNCTION("IF(Y180&lt;&gt;"""", GOOGLETRANSLATE(Y180, ""RO"", ""EN""), """")"),"")</f>
        <v/>
      </c>
    </row>
    <row r="181" ht="15.75" customHeight="1">
      <c r="A181" s="4" t="s">
        <v>568</v>
      </c>
      <c r="B181" s="4" t="s">
        <v>569</v>
      </c>
      <c r="C181" s="4" t="str">
        <f>IFERROR(__xludf.DUMMYFUNCTION("GOOGLETRANSLATE(B181, ""RO"", ""EN"")"),"On a scale from 0 to 10, where 0 means ""not"" and 10 ""very"", how much do you think your vote will influence the result of the presidential elections?")</f>
        <v>On a scale from 0 to 10, where 0 means "not" and 10 "very", how much do you think your vote will influence the result of the presidential elections?</v>
      </c>
      <c r="D181" s="5" t="str">
        <f>IFERROR(__xludf.DUMMYFUNCTION("IF(O181&lt;&gt;"""", GOOGLETRANSLATE(O181, ""RO"", ""EN""), """")"),"It does not influence at all")</f>
        <v>It does not influence at all</v>
      </c>
      <c r="E181" s="6" t="str">
        <f>IFERROR(__xludf.DUMMYFUNCTION("IF(P181&lt;&gt;"""", GOOGLETRANSLATE(P181, ""RO"", ""EN""), """")"),"1")</f>
        <v>1</v>
      </c>
      <c r="F181" s="5" t="str">
        <f>IFERROR(__xludf.DUMMYFUNCTION("IF(Q181&lt;&gt;"""", GOOGLETRANSLATE(Q181, ""RO"", ""EN""), """")"),"2")</f>
        <v>2</v>
      </c>
      <c r="G181" s="5" t="str">
        <f>IFERROR(__xludf.DUMMYFUNCTION("IF(R181&lt;&gt;"""", GOOGLETRANSLATE(R181, ""RO"", ""EN""), """")"),"3")</f>
        <v>3</v>
      </c>
      <c r="H181" s="5" t="str">
        <f>IFERROR(__xludf.DUMMYFUNCTION("IF(U181&lt;&gt;"""", GOOGLETRANSLATE(U181, ""RO"", ""EN""), """")"),"4")</f>
        <v>4</v>
      </c>
      <c r="I181" s="5" t="str">
        <f>IFERROR(__xludf.DUMMYFUNCTION("IF(V181&lt;&gt;"""", GOOGLETRANSLATE(V181, ""RO"", ""EN""), """")"),"5")</f>
        <v>5</v>
      </c>
      <c r="J181" s="5" t="str">
        <f>IFERROR(__xludf.DUMMYFUNCTION("IF(W181&lt;&gt;"""", GOOGLETRANSLATE(W181, ""RO"", ""EN""), """")"),"6")</f>
        <v>6</v>
      </c>
      <c r="K181" s="5" t="str">
        <f>IFERROR(__xludf.DUMMYFUNCTION("IF(X181&lt;&gt;"""", GOOGLETRANSLATE(X181, ""RO"", ""EN""), """")"),"7")</f>
        <v>7</v>
      </c>
      <c r="L181" s="5" t="str">
        <f>IFERROR(__xludf.DUMMYFUNCTION("IF(S181&lt;&gt;"""", GOOGLETRANSLATE(S181, ""RO"", ""EN""), """")"),"8")</f>
        <v>8</v>
      </c>
      <c r="M181" s="5" t="str">
        <f>IFERROR(__xludf.DUMMYFUNCTION("IF(T181&lt;&gt;"""", GOOGLETRANSLATE(T181, ""RO"", ""EN""), """")"),"9")</f>
        <v>9</v>
      </c>
      <c r="N181" s="5" t="str">
        <f>IFERROR(__xludf.DUMMYFUNCTION("IF(Y181&lt;&gt;"""", GOOGLETRANSLATE(Y181, ""RO"", ""EN""), """")"),"It influences a lot")</f>
        <v>It influences a lot</v>
      </c>
      <c r="O181" s="4" t="s">
        <v>570</v>
      </c>
      <c r="P181" s="4" t="s">
        <v>168</v>
      </c>
      <c r="Q181" s="4" t="s">
        <v>169</v>
      </c>
      <c r="R181" s="4" t="s">
        <v>170</v>
      </c>
      <c r="S181" s="4" t="s">
        <v>171</v>
      </c>
      <c r="T181" s="4" t="s">
        <v>172</v>
      </c>
      <c r="U181" s="4" t="s">
        <v>173</v>
      </c>
      <c r="V181" s="4" t="s">
        <v>174</v>
      </c>
      <c r="W181" s="4" t="s">
        <v>175</v>
      </c>
      <c r="X181" s="4" t="s">
        <v>176</v>
      </c>
      <c r="Y181" s="4" t="s">
        <v>571</v>
      </c>
      <c r="AA181" s="4" t="s">
        <v>103</v>
      </c>
      <c r="AB181" s="4" t="s">
        <v>104</v>
      </c>
    </row>
    <row r="182" ht="15.75" customHeight="1">
      <c r="A182" s="4" t="s">
        <v>572</v>
      </c>
      <c r="B182" s="4" t="s">
        <v>573</v>
      </c>
      <c r="C182" s="4" t="str">
        <f>IFERROR(__xludf.DUMMYFUNCTION("GOOGLETRANSLATE(B182, ""RO"", ""EN"")"),"If ... wins the presidential elections in November, will you be more happy, rather sad or happy, or sad? Mircea Geoana")</f>
        <v>If ... wins the presidential elections in November, will you be more happy, rather sad or happy, or sad? Mircea Geoana</v>
      </c>
      <c r="D182" s="5" t="str">
        <f>IFERROR(__xludf.DUMMYFUNCTION("IF(O182&lt;&gt;"""", GOOGLETRANSLATE(O182, ""RO"", ""EN""), """")"),"")</f>
        <v/>
      </c>
      <c r="E182" s="6" t="str">
        <f>IFERROR(__xludf.DUMMYFUNCTION("IF(P182&lt;&gt;"""", GOOGLETRANSLATE(P182, ""RO"", ""EN""), """")"),"Rather happy")</f>
        <v>Rather happy</v>
      </c>
      <c r="F182" s="5" t="str">
        <f>IFERROR(__xludf.DUMMYFUNCTION("IF(Q182&lt;&gt;"""", GOOGLETRANSLATE(Q182, ""RO"", ""EN""), """")"),"No happy nor sad")</f>
        <v>No happy nor sad</v>
      </c>
      <c r="G182" s="5" t="str">
        <f>IFERROR(__xludf.DUMMYFUNCTION("IF(R182&lt;&gt;"""", GOOGLETRANSLATE(R182, ""RO"", ""EN""), """")"),"Rather sad")</f>
        <v>Rather sad</v>
      </c>
      <c r="H182" s="5" t="str">
        <f>IFERROR(__xludf.DUMMYFUNCTION("IF(U182&lt;&gt;"""", GOOGLETRANSLATE(U182, ""RO"", ""EN""), """")"),"")</f>
        <v/>
      </c>
      <c r="I182" s="5" t="str">
        <f>IFERROR(__xludf.DUMMYFUNCTION("IF(V182&lt;&gt;"""", GOOGLETRANSLATE(V182, ""RO"", ""EN""), """")"),"")</f>
        <v/>
      </c>
      <c r="J182" s="5" t="str">
        <f>IFERROR(__xludf.DUMMYFUNCTION("IF(W182&lt;&gt;"""", GOOGLETRANSLATE(W182, ""RO"", ""EN""), """")"),"")</f>
        <v/>
      </c>
      <c r="K182" s="5" t="str">
        <f>IFERROR(__xludf.DUMMYFUNCTION("IF(X182&lt;&gt;"""", GOOGLETRANSLATE(X182, ""RO"", ""EN""), """")"),"")</f>
        <v/>
      </c>
      <c r="L182" s="5" t="str">
        <f>IFERROR(__xludf.DUMMYFUNCTION("IF(S182&lt;&gt;"""", GOOGLETRANSLATE(S182, ""RO"", ""EN""), """")"),"Ns")</f>
        <v>Ns</v>
      </c>
      <c r="M182" s="5" t="str">
        <f>IFERROR(__xludf.DUMMYFUNCTION("IF(T182&lt;&gt;"""", GOOGLETRANSLATE(T182, ""RO"", ""EN""), """")"),"No.")</f>
        <v>No.</v>
      </c>
      <c r="N182" s="5" t="str">
        <f>IFERROR(__xludf.DUMMYFUNCTION("IF(Y182&lt;&gt;"""", GOOGLETRANSLATE(Y182, ""RO"", ""EN""), """")"),"")</f>
        <v/>
      </c>
      <c r="P182" s="4" t="s">
        <v>574</v>
      </c>
      <c r="Q182" s="4" t="s">
        <v>575</v>
      </c>
      <c r="R182" s="4" t="s">
        <v>576</v>
      </c>
      <c r="S182" s="4" t="s">
        <v>103</v>
      </c>
      <c r="T182" s="4" t="s">
        <v>104</v>
      </c>
    </row>
    <row r="183" ht="15.75" customHeight="1">
      <c r="A183" s="4" t="s">
        <v>577</v>
      </c>
      <c r="B183" s="4" t="s">
        <v>220</v>
      </c>
      <c r="C183" s="4" t="str">
        <f>IFERROR(__xludf.DUMMYFUNCTION("GOOGLETRANSLATE(B183, ""RO"", ""EN"")"),"Crin Antonescu")</f>
        <v>Crin Antonescu</v>
      </c>
      <c r="D183" s="5" t="str">
        <f>IFERROR(__xludf.DUMMYFUNCTION("IF(O183&lt;&gt;"""", GOOGLETRANSLATE(O183, ""RO"", ""EN""), """")"),"")</f>
        <v/>
      </c>
      <c r="E183" s="6" t="str">
        <f>IFERROR(__xludf.DUMMYFUNCTION("IF(P183&lt;&gt;"""", GOOGLETRANSLATE(P183, ""RO"", ""EN""), """")"),"Rather happy")</f>
        <v>Rather happy</v>
      </c>
      <c r="F183" s="5" t="str">
        <f>IFERROR(__xludf.DUMMYFUNCTION("IF(Q183&lt;&gt;"""", GOOGLETRANSLATE(Q183, ""RO"", ""EN""), """")"),"No happy nor sad")</f>
        <v>No happy nor sad</v>
      </c>
      <c r="G183" s="5" t="str">
        <f>IFERROR(__xludf.DUMMYFUNCTION("IF(R183&lt;&gt;"""", GOOGLETRANSLATE(R183, ""RO"", ""EN""), """")"),"Rather sad")</f>
        <v>Rather sad</v>
      </c>
      <c r="H183" s="5" t="str">
        <f>IFERROR(__xludf.DUMMYFUNCTION("IF(U183&lt;&gt;"""", GOOGLETRANSLATE(U183, ""RO"", ""EN""), """")"),"")</f>
        <v/>
      </c>
      <c r="I183" s="5" t="str">
        <f>IFERROR(__xludf.DUMMYFUNCTION("IF(V183&lt;&gt;"""", GOOGLETRANSLATE(V183, ""RO"", ""EN""), """")"),"")</f>
        <v/>
      </c>
      <c r="J183" s="5" t="str">
        <f>IFERROR(__xludf.DUMMYFUNCTION("IF(W183&lt;&gt;"""", GOOGLETRANSLATE(W183, ""RO"", ""EN""), """")"),"")</f>
        <v/>
      </c>
      <c r="K183" s="5" t="str">
        <f>IFERROR(__xludf.DUMMYFUNCTION("IF(X183&lt;&gt;"""", GOOGLETRANSLATE(X183, ""RO"", ""EN""), """")"),"")</f>
        <v/>
      </c>
      <c r="L183" s="5" t="str">
        <f>IFERROR(__xludf.DUMMYFUNCTION("IF(S183&lt;&gt;"""", GOOGLETRANSLATE(S183, ""RO"", ""EN""), """")"),"Ns")</f>
        <v>Ns</v>
      </c>
      <c r="M183" s="5" t="str">
        <f>IFERROR(__xludf.DUMMYFUNCTION("IF(T183&lt;&gt;"""", GOOGLETRANSLATE(T183, ""RO"", ""EN""), """")"),"No.")</f>
        <v>No.</v>
      </c>
      <c r="N183" s="5" t="str">
        <f>IFERROR(__xludf.DUMMYFUNCTION("IF(Y183&lt;&gt;"""", GOOGLETRANSLATE(Y183, ""RO"", ""EN""), """")"),"")</f>
        <v/>
      </c>
      <c r="P183" s="4" t="s">
        <v>574</v>
      </c>
      <c r="Q183" s="4" t="s">
        <v>575</v>
      </c>
      <c r="R183" s="4" t="s">
        <v>576</v>
      </c>
      <c r="S183" s="4" t="s">
        <v>103</v>
      </c>
      <c r="T183" s="4" t="s">
        <v>104</v>
      </c>
    </row>
    <row r="184" ht="15.75" customHeight="1">
      <c r="A184" s="4" t="s">
        <v>578</v>
      </c>
      <c r="B184" s="4" t="s">
        <v>221</v>
      </c>
      <c r="C184" s="4" t="str">
        <f>IFERROR(__xludf.DUMMYFUNCTION("GOOGLETRANSLATE(B184, ""RO"", ""EN"")"),"Traian Basescu")</f>
        <v>Traian Basescu</v>
      </c>
      <c r="D184" s="5" t="str">
        <f>IFERROR(__xludf.DUMMYFUNCTION("IF(O184&lt;&gt;"""", GOOGLETRANSLATE(O184, ""RO"", ""EN""), """")"),"")</f>
        <v/>
      </c>
      <c r="E184" s="6" t="str">
        <f>IFERROR(__xludf.DUMMYFUNCTION("IF(P184&lt;&gt;"""", GOOGLETRANSLATE(P184, ""RO"", ""EN""), """")"),"Rather happy")</f>
        <v>Rather happy</v>
      </c>
      <c r="F184" s="5" t="str">
        <f>IFERROR(__xludf.DUMMYFUNCTION("IF(Q184&lt;&gt;"""", GOOGLETRANSLATE(Q184, ""RO"", ""EN""), """")"),"No happy nor sad")</f>
        <v>No happy nor sad</v>
      </c>
      <c r="G184" s="5" t="str">
        <f>IFERROR(__xludf.DUMMYFUNCTION("IF(R184&lt;&gt;"""", GOOGLETRANSLATE(R184, ""RO"", ""EN""), """")"),"Rather sad")</f>
        <v>Rather sad</v>
      </c>
      <c r="H184" s="5" t="str">
        <f>IFERROR(__xludf.DUMMYFUNCTION("IF(U184&lt;&gt;"""", GOOGLETRANSLATE(U184, ""RO"", ""EN""), """")"),"")</f>
        <v/>
      </c>
      <c r="I184" s="5" t="str">
        <f>IFERROR(__xludf.DUMMYFUNCTION("IF(V184&lt;&gt;"""", GOOGLETRANSLATE(V184, ""RO"", ""EN""), """")"),"")</f>
        <v/>
      </c>
      <c r="J184" s="5" t="str">
        <f>IFERROR(__xludf.DUMMYFUNCTION("IF(W184&lt;&gt;"""", GOOGLETRANSLATE(W184, ""RO"", ""EN""), """")"),"")</f>
        <v/>
      </c>
      <c r="K184" s="5" t="str">
        <f>IFERROR(__xludf.DUMMYFUNCTION("IF(X184&lt;&gt;"""", GOOGLETRANSLATE(X184, ""RO"", ""EN""), """")"),"")</f>
        <v/>
      </c>
      <c r="L184" s="5" t="str">
        <f>IFERROR(__xludf.DUMMYFUNCTION("IF(S184&lt;&gt;"""", GOOGLETRANSLATE(S184, ""RO"", ""EN""), """")"),"Ns")</f>
        <v>Ns</v>
      </c>
      <c r="M184" s="5" t="str">
        <f>IFERROR(__xludf.DUMMYFUNCTION("IF(T184&lt;&gt;"""", GOOGLETRANSLATE(T184, ""RO"", ""EN""), """")"),"No.")</f>
        <v>No.</v>
      </c>
      <c r="N184" s="5" t="str">
        <f>IFERROR(__xludf.DUMMYFUNCTION("IF(Y184&lt;&gt;"""", GOOGLETRANSLATE(Y184, ""RO"", ""EN""), """")"),"")</f>
        <v/>
      </c>
      <c r="P184" s="4" t="s">
        <v>574</v>
      </c>
      <c r="Q184" s="4" t="s">
        <v>575</v>
      </c>
      <c r="R184" s="4" t="s">
        <v>576</v>
      </c>
      <c r="S184" s="4" t="s">
        <v>103</v>
      </c>
      <c r="T184" s="4" t="s">
        <v>104</v>
      </c>
    </row>
    <row r="185" ht="15.75" customHeight="1">
      <c r="A185" s="4" t="s">
        <v>579</v>
      </c>
      <c r="B185" s="4" t="s">
        <v>485</v>
      </c>
      <c r="C185" s="4" t="str">
        <f>IFERROR(__xludf.DUMMYFUNCTION("GOOGLETRANSLATE(B185, ""RO"", ""EN"")"),"Another candidate")</f>
        <v>Another candidate</v>
      </c>
      <c r="D185" s="5" t="str">
        <f>IFERROR(__xludf.DUMMYFUNCTION("IF(O185&lt;&gt;"""", GOOGLETRANSLATE(O185, ""RO"", ""EN""), """")"),"")</f>
        <v/>
      </c>
      <c r="E185" s="6" t="str">
        <f>IFERROR(__xludf.DUMMYFUNCTION("IF(P185&lt;&gt;"""", GOOGLETRANSLATE(P185, ""RO"", ""EN""), """")"),"Rather happy")</f>
        <v>Rather happy</v>
      </c>
      <c r="F185" s="5" t="str">
        <f>IFERROR(__xludf.DUMMYFUNCTION("IF(Q185&lt;&gt;"""", GOOGLETRANSLATE(Q185, ""RO"", ""EN""), """")"),"No happy nor sad")</f>
        <v>No happy nor sad</v>
      </c>
      <c r="G185" s="5" t="str">
        <f>IFERROR(__xludf.DUMMYFUNCTION("IF(R185&lt;&gt;"""", GOOGLETRANSLATE(R185, ""RO"", ""EN""), """")"),"Rather sad")</f>
        <v>Rather sad</v>
      </c>
      <c r="H185" s="5" t="str">
        <f>IFERROR(__xludf.DUMMYFUNCTION("IF(U185&lt;&gt;"""", GOOGLETRANSLATE(U185, ""RO"", ""EN""), """")"),"")</f>
        <v/>
      </c>
      <c r="I185" s="5" t="str">
        <f>IFERROR(__xludf.DUMMYFUNCTION("IF(V185&lt;&gt;"""", GOOGLETRANSLATE(V185, ""RO"", ""EN""), """")"),"")</f>
        <v/>
      </c>
      <c r="J185" s="5" t="str">
        <f>IFERROR(__xludf.DUMMYFUNCTION("IF(W185&lt;&gt;"""", GOOGLETRANSLATE(W185, ""RO"", ""EN""), """")"),"")</f>
        <v/>
      </c>
      <c r="K185" s="5" t="str">
        <f>IFERROR(__xludf.DUMMYFUNCTION("IF(X185&lt;&gt;"""", GOOGLETRANSLATE(X185, ""RO"", ""EN""), """")"),"")</f>
        <v/>
      </c>
      <c r="L185" s="5" t="str">
        <f>IFERROR(__xludf.DUMMYFUNCTION("IF(S185&lt;&gt;"""", GOOGLETRANSLATE(S185, ""RO"", ""EN""), """")"),"Ns")</f>
        <v>Ns</v>
      </c>
      <c r="M185" s="5" t="str">
        <f>IFERROR(__xludf.DUMMYFUNCTION("IF(T185&lt;&gt;"""", GOOGLETRANSLATE(T185, ""RO"", ""EN""), """")"),"No.")</f>
        <v>No.</v>
      </c>
      <c r="N185" s="5" t="str">
        <f>IFERROR(__xludf.DUMMYFUNCTION("IF(Y185&lt;&gt;"""", GOOGLETRANSLATE(Y185, ""RO"", ""EN""), """")"),"")</f>
        <v/>
      </c>
      <c r="P185" s="4" t="s">
        <v>574</v>
      </c>
      <c r="Q185" s="4" t="s">
        <v>575</v>
      </c>
      <c r="R185" s="4" t="s">
        <v>576</v>
      </c>
      <c r="S185" s="4" t="s">
        <v>103</v>
      </c>
      <c r="T185" s="4" t="s">
        <v>104</v>
      </c>
    </row>
    <row r="186" ht="15.75" customHeight="1">
      <c r="A186" s="4" t="s">
        <v>580</v>
      </c>
      <c r="B186" s="4" t="s">
        <v>581</v>
      </c>
      <c r="C186" s="4" t="str">
        <f>IFERROR(__xludf.DUMMYFUNCTION("GOOGLETRANSLATE(B186, ""RO"", ""EN"")"),"Vote participation is a debt of each citizen.")</f>
        <v>Vote participation is a debt of each citizen.</v>
      </c>
      <c r="D186" s="5" t="str">
        <f>IFERROR(__xludf.DUMMYFUNCTION("IF(O186&lt;&gt;"""", GOOGLETRANSLATE(O186, ""RO"", ""EN""), """")"),"")</f>
        <v/>
      </c>
      <c r="E186" s="6" t="str">
        <f>IFERROR(__xludf.DUMMYFUNCTION("IF(P186&lt;&gt;"""", GOOGLETRANSLATE(P186, ""RO"", ""EN""), """")"),"True")</f>
        <v>True</v>
      </c>
      <c r="F186" s="5" t="str">
        <f>IFERROR(__xludf.DUMMYFUNCTION("IF(Q186&lt;&gt;"""", GOOGLETRANSLATE(Q186, ""RO"", ""EN""), """")"),"Rather true")</f>
        <v>Rather true</v>
      </c>
      <c r="G186" s="5" t="str">
        <f>IFERROR(__xludf.DUMMYFUNCTION("IF(R186&lt;&gt;"""", GOOGLETRANSLATE(R186, ""RO"", ""EN""), """")"),"Sometimes true, sometimes false")</f>
        <v>Sometimes true, sometimes false</v>
      </c>
      <c r="H186" s="5" t="str">
        <f>IFERROR(__xludf.DUMMYFUNCTION("IF(U186&lt;&gt;"""", GOOGLETRANSLATE(U186, ""RO"", ""EN""), """")"),"Rather false")</f>
        <v>Rather false</v>
      </c>
      <c r="I186" s="5" t="str">
        <f>IFERROR(__xludf.DUMMYFUNCTION("IF(V186&lt;&gt;"""", GOOGLETRANSLATE(V186, ""RO"", ""EN""), """")"),"Fake")</f>
        <v>Fake</v>
      </c>
      <c r="J186" s="5" t="str">
        <f>IFERROR(__xludf.DUMMYFUNCTION("IF(W186&lt;&gt;"""", GOOGLETRANSLATE(W186, ""RO"", ""EN""), """")"),"")</f>
        <v/>
      </c>
      <c r="K186" s="5" t="str">
        <f>IFERROR(__xludf.DUMMYFUNCTION("IF(X186&lt;&gt;"""", GOOGLETRANSLATE(X186, ""RO"", ""EN""), """")"),"")</f>
        <v/>
      </c>
      <c r="L186" s="5" t="str">
        <f>IFERROR(__xludf.DUMMYFUNCTION("IF(S186&lt;&gt;"""", GOOGLETRANSLATE(S186, ""RO"", ""EN""), """")"),"Ns")</f>
        <v>Ns</v>
      </c>
      <c r="M186" s="5" t="str">
        <f>IFERROR(__xludf.DUMMYFUNCTION("IF(T186&lt;&gt;"""", GOOGLETRANSLATE(T186, ""RO"", ""EN""), """")"),"No.")</f>
        <v>No.</v>
      </c>
      <c r="N186" s="5" t="str">
        <f>IFERROR(__xludf.DUMMYFUNCTION("IF(Y186&lt;&gt;"""", GOOGLETRANSLATE(Y186, ""RO"", ""EN""), """")"),"")</f>
        <v/>
      </c>
      <c r="P186" s="4" t="s">
        <v>270</v>
      </c>
      <c r="Q186" s="4" t="s">
        <v>582</v>
      </c>
      <c r="R186" s="4" t="s">
        <v>583</v>
      </c>
      <c r="S186" s="4" t="s">
        <v>103</v>
      </c>
      <c r="T186" s="4" t="s">
        <v>104</v>
      </c>
      <c r="U186" s="4" t="s">
        <v>584</v>
      </c>
      <c r="V186" s="4" t="s">
        <v>271</v>
      </c>
    </row>
    <row r="187" ht="15.75" customHeight="1">
      <c r="A187" s="4" t="s">
        <v>585</v>
      </c>
      <c r="B187" s="4" t="s">
        <v>586</v>
      </c>
      <c r="C187" s="4" t="str">
        <f>IFERROR(__xludf.DUMMYFUNCTION("GOOGLETRANSLATE(B187, ""RO"", ""EN"")"),"People are so busy they don't have time to vote.")</f>
        <v>People are so busy they don't have time to vote.</v>
      </c>
      <c r="D187" s="5" t="str">
        <f>IFERROR(__xludf.DUMMYFUNCTION("IF(O187&lt;&gt;"""", GOOGLETRANSLATE(O187, ""RO"", ""EN""), """")"),"")</f>
        <v/>
      </c>
      <c r="E187" s="6" t="str">
        <f>IFERROR(__xludf.DUMMYFUNCTION("IF(P187&lt;&gt;"""", GOOGLETRANSLATE(P187, ""RO"", ""EN""), """")"),"True")</f>
        <v>True</v>
      </c>
      <c r="F187" s="5" t="str">
        <f>IFERROR(__xludf.DUMMYFUNCTION("IF(Q187&lt;&gt;"""", GOOGLETRANSLATE(Q187, ""RO"", ""EN""), """")"),"Rather true")</f>
        <v>Rather true</v>
      </c>
      <c r="G187" s="5" t="str">
        <f>IFERROR(__xludf.DUMMYFUNCTION("IF(R187&lt;&gt;"""", GOOGLETRANSLATE(R187, ""RO"", ""EN""), """")"),"Sometimes true, sometimes false")</f>
        <v>Sometimes true, sometimes false</v>
      </c>
      <c r="H187" s="5" t="str">
        <f>IFERROR(__xludf.DUMMYFUNCTION("IF(U187&lt;&gt;"""", GOOGLETRANSLATE(U187, ""RO"", ""EN""), """")"),"Rather false")</f>
        <v>Rather false</v>
      </c>
      <c r="I187" s="5" t="str">
        <f>IFERROR(__xludf.DUMMYFUNCTION("IF(V187&lt;&gt;"""", GOOGLETRANSLATE(V187, ""RO"", ""EN""), """")"),"Fake")</f>
        <v>Fake</v>
      </c>
      <c r="J187" s="5" t="str">
        <f>IFERROR(__xludf.DUMMYFUNCTION("IF(W187&lt;&gt;"""", GOOGLETRANSLATE(W187, ""RO"", ""EN""), """")"),"")</f>
        <v/>
      </c>
      <c r="K187" s="5" t="str">
        <f>IFERROR(__xludf.DUMMYFUNCTION("IF(X187&lt;&gt;"""", GOOGLETRANSLATE(X187, ""RO"", ""EN""), """")"),"")</f>
        <v/>
      </c>
      <c r="L187" s="5" t="str">
        <f>IFERROR(__xludf.DUMMYFUNCTION("IF(S187&lt;&gt;"""", GOOGLETRANSLATE(S187, ""RO"", ""EN""), """")"),"Ns")</f>
        <v>Ns</v>
      </c>
      <c r="M187" s="5" t="str">
        <f>IFERROR(__xludf.DUMMYFUNCTION("IF(T187&lt;&gt;"""", GOOGLETRANSLATE(T187, ""RO"", ""EN""), """")"),"No.")</f>
        <v>No.</v>
      </c>
      <c r="N187" s="5" t="str">
        <f>IFERROR(__xludf.DUMMYFUNCTION("IF(Y187&lt;&gt;"""", GOOGLETRANSLATE(Y187, ""RO"", ""EN""), """")"),"")</f>
        <v/>
      </c>
      <c r="P187" s="4" t="s">
        <v>270</v>
      </c>
      <c r="Q187" s="4" t="s">
        <v>582</v>
      </c>
      <c r="R187" s="4" t="s">
        <v>583</v>
      </c>
      <c r="S187" s="4" t="s">
        <v>103</v>
      </c>
      <c r="T187" s="4" t="s">
        <v>104</v>
      </c>
      <c r="U187" s="4" t="s">
        <v>584</v>
      </c>
      <c r="V187" s="4" t="s">
        <v>271</v>
      </c>
    </row>
    <row r="188" ht="15.75" customHeight="1">
      <c r="A188" s="4" t="s">
        <v>587</v>
      </c>
      <c r="B188" s="4" t="s">
        <v>588</v>
      </c>
      <c r="C188" s="4" t="str">
        <f>IFERROR(__xludf.DUMMYFUNCTION("GOOGLETRANSLATE(B188, ""RO"", ""EN"")"),"Most of my family members think it is a waste of time to vote.")</f>
        <v>Most of my family members think it is a waste of time to vote.</v>
      </c>
      <c r="D188" s="5" t="str">
        <f>IFERROR(__xludf.DUMMYFUNCTION("IF(O188&lt;&gt;"""", GOOGLETRANSLATE(O188, ""RO"", ""EN""), """")"),"")</f>
        <v/>
      </c>
      <c r="E188" s="6" t="str">
        <f>IFERROR(__xludf.DUMMYFUNCTION("IF(P188&lt;&gt;"""", GOOGLETRANSLATE(P188, ""RO"", ""EN""), """")"),"True")</f>
        <v>True</v>
      </c>
      <c r="F188" s="5" t="str">
        <f>IFERROR(__xludf.DUMMYFUNCTION("IF(Q188&lt;&gt;"""", GOOGLETRANSLATE(Q188, ""RO"", ""EN""), """")"),"Rather true")</f>
        <v>Rather true</v>
      </c>
      <c r="G188" s="5" t="str">
        <f>IFERROR(__xludf.DUMMYFUNCTION("IF(R188&lt;&gt;"""", GOOGLETRANSLATE(R188, ""RO"", ""EN""), """")"),"Sometimes true, sometimes false")</f>
        <v>Sometimes true, sometimes false</v>
      </c>
      <c r="H188" s="5" t="str">
        <f>IFERROR(__xludf.DUMMYFUNCTION("IF(U188&lt;&gt;"""", GOOGLETRANSLATE(U188, ""RO"", ""EN""), """")"),"Rather false")</f>
        <v>Rather false</v>
      </c>
      <c r="I188" s="5" t="str">
        <f>IFERROR(__xludf.DUMMYFUNCTION("IF(V188&lt;&gt;"""", GOOGLETRANSLATE(V188, ""RO"", ""EN""), """")"),"Fake")</f>
        <v>Fake</v>
      </c>
      <c r="J188" s="5" t="str">
        <f>IFERROR(__xludf.DUMMYFUNCTION("IF(W188&lt;&gt;"""", GOOGLETRANSLATE(W188, ""RO"", ""EN""), """")"),"")</f>
        <v/>
      </c>
      <c r="K188" s="5" t="str">
        <f>IFERROR(__xludf.DUMMYFUNCTION("IF(X188&lt;&gt;"""", GOOGLETRANSLATE(X188, ""RO"", ""EN""), """")"),"")</f>
        <v/>
      </c>
      <c r="L188" s="5" t="str">
        <f>IFERROR(__xludf.DUMMYFUNCTION("IF(S188&lt;&gt;"""", GOOGLETRANSLATE(S188, ""RO"", ""EN""), """")"),"Ns")</f>
        <v>Ns</v>
      </c>
      <c r="M188" s="5" t="str">
        <f>IFERROR(__xludf.DUMMYFUNCTION("IF(T188&lt;&gt;"""", GOOGLETRANSLATE(T188, ""RO"", ""EN""), """")"),"No.")</f>
        <v>No.</v>
      </c>
      <c r="N188" s="5" t="str">
        <f>IFERROR(__xludf.DUMMYFUNCTION("IF(Y188&lt;&gt;"""", GOOGLETRANSLATE(Y188, ""RO"", ""EN""), """")"),"")</f>
        <v/>
      </c>
      <c r="P188" s="4" t="s">
        <v>270</v>
      </c>
      <c r="Q188" s="4" t="s">
        <v>582</v>
      </c>
      <c r="R188" s="4" t="s">
        <v>583</v>
      </c>
      <c r="S188" s="4" t="s">
        <v>103</v>
      </c>
      <c r="T188" s="4" t="s">
        <v>104</v>
      </c>
      <c r="U188" s="4" t="s">
        <v>584</v>
      </c>
      <c r="V188" s="4" t="s">
        <v>271</v>
      </c>
    </row>
    <row r="189" ht="15.75" customHeight="1">
      <c r="A189" s="4" t="s">
        <v>589</v>
      </c>
      <c r="B189" s="4" t="s">
        <v>590</v>
      </c>
      <c r="C189" s="4" t="str">
        <f>IFERROR(__xludf.DUMMYFUNCTION("GOOGLETRANSLATE(B189, ""RO"", ""EN"")"),"Most of my friends think it is a waste of time to vote.")</f>
        <v>Most of my friends think it is a waste of time to vote.</v>
      </c>
      <c r="D189" s="5" t="str">
        <f>IFERROR(__xludf.DUMMYFUNCTION("IF(O189&lt;&gt;"""", GOOGLETRANSLATE(O189, ""RO"", ""EN""), """")"),"")</f>
        <v/>
      </c>
      <c r="E189" s="6" t="str">
        <f>IFERROR(__xludf.DUMMYFUNCTION("IF(P189&lt;&gt;"""", GOOGLETRANSLATE(P189, ""RO"", ""EN""), """")"),"True")</f>
        <v>True</v>
      </c>
      <c r="F189" s="5" t="str">
        <f>IFERROR(__xludf.DUMMYFUNCTION("IF(Q189&lt;&gt;"""", GOOGLETRANSLATE(Q189, ""RO"", ""EN""), """")"),"Rather true")</f>
        <v>Rather true</v>
      </c>
      <c r="G189" s="5" t="str">
        <f>IFERROR(__xludf.DUMMYFUNCTION("IF(R189&lt;&gt;"""", GOOGLETRANSLATE(R189, ""RO"", ""EN""), """")"),"Sometimes true, sometimes false")</f>
        <v>Sometimes true, sometimes false</v>
      </c>
      <c r="H189" s="5" t="str">
        <f>IFERROR(__xludf.DUMMYFUNCTION("IF(U189&lt;&gt;"""", GOOGLETRANSLATE(U189, ""RO"", ""EN""), """")"),"Rather false")</f>
        <v>Rather false</v>
      </c>
      <c r="I189" s="5" t="str">
        <f>IFERROR(__xludf.DUMMYFUNCTION("IF(V189&lt;&gt;"""", GOOGLETRANSLATE(V189, ""RO"", ""EN""), """")"),"Fake")</f>
        <v>Fake</v>
      </c>
      <c r="J189" s="5" t="str">
        <f>IFERROR(__xludf.DUMMYFUNCTION("IF(W189&lt;&gt;"""", GOOGLETRANSLATE(W189, ""RO"", ""EN""), """")"),"")</f>
        <v/>
      </c>
      <c r="K189" s="5" t="str">
        <f>IFERROR(__xludf.DUMMYFUNCTION("IF(X189&lt;&gt;"""", GOOGLETRANSLATE(X189, ""RO"", ""EN""), """")"),"")</f>
        <v/>
      </c>
      <c r="L189" s="5" t="str">
        <f>IFERROR(__xludf.DUMMYFUNCTION("IF(S189&lt;&gt;"""", GOOGLETRANSLATE(S189, ""RO"", ""EN""), """")"),"Ns")</f>
        <v>Ns</v>
      </c>
      <c r="M189" s="5" t="str">
        <f>IFERROR(__xludf.DUMMYFUNCTION("IF(T189&lt;&gt;"""", GOOGLETRANSLATE(T189, ""RO"", ""EN""), """")"),"No.")</f>
        <v>No.</v>
      </c>
      <c r="N189" s="5" t="str">
        <f>IFERROR(__xludf.DUMMYFUNCTION("IF(Y189&lt;&gt;"""", GOOGLETRANSLATE(Y189, ""RO"", ""EN""), """")"),"")</f>
        <v/>
      </c>
      <c r="P189" s="4" t="s">
        <v>270</v>
      </c>
      <c r="Q189" s="4" t="s">
        <v>582</v>
      </c>
      <c r="R189" s="4" t="s">
        <v>583</v>
      </c>
      <c r="S189" s="4" t="s">
        <v>103</v>
      </c>
      <c r="T189" s="4" t="s">
        <v>104</v>
      </c>
      <c r="U189" s="4" t="s">
        <v>584</v>
      </c>
      <c r="V189" s="4" t="s">
        <v>271</v>
      </c>
    </row>
    <row r="190" ht="15.75" customHeight="1">
      <c r="A190" s="4" t="s">
        <v>591</v>
      </c>
      <c r="B190" s="4" t="s">
        <v>592</v>
      </c>
      <c r="C190" s="4" t="str">
        <f>IFERROR(__xludf.DUMMYFUNCTION("GOOGLETRANSLATE(B190, ""RO"", ""EN"")"),"So many people vote in elections that my vote does not matter.")</f>
        <v>So many people vote in elections that my vote does not matter.</v>
      </c>
      <c r="D190" s="5" t="str">
        <f>IFERROR(__xludf.DUMMYFUNCTION("IF(O190&lt;&gt;"""", GOOGLETRANSLATE(O190, ""RO"", ""EN""), """")"),"")</f>
        <v/>
      </c>
      <c r="E190" s="6" t="str">
        <f>IFERROR(__xludf.DUMMYFUNCTION("IF(P190&lt;&gt;"""", GOOGLETRANSLATE(P190, ""RO"", ""EN""), """")"),"True")</f>
        <v>True</v>
      </c>
      <c r="F190" s="5" t="str">
        <f>IFERROR(__xludf.DUMMYFUNCTION("IF(Q190&lt;&gt;"""", GOOGLETRANSLATE(Q190, ""RO"", ""EN""), """")"),"Rather true")</f>
        <v>Rather true</v>
      </c>
      <c r="G190" s="5" t="str">
        <f>IFERROR(__xludf.DUMMYFUNCTION("IF(R190&lt;&gt;"""", GOOGLETRANSLATE(R190, ""RO"", ""EN""), """")"),"Sometimes true, sometimes false")</f>
        <v>Sometimes true, sometimes false</v>
      </c>
      <c r="H190" s="5" t="str">
        <f>IFERROR(__xludf.DUMMYFUNCTION("IF(U190&lt;&gt;"""", GOOGLETRANSLATE(U190, ""RO"", ""EN""), """")"),"Rather false")</f>
        <v>Rather false</v>
      </c>
      <c r="I190" s="5" t="str">
        <f>IFERROR(__xludf.DUMMYFUNCTION("IF(V190&lt;&gt;"""", GOOGLETRANSLATE(V190, ""RO"", ""EN""), """")"),"Fake")</f>
        <v>Fake</v>
      </c>
      <c r="J190" s="5" t="str">
        <f>IFERROR(__xludf.DUMMYFUNCTION("IF(W190&lt;&gt;"""", GOOGLETRANSLATE(W190, ""RO"", ""EN""), """")"),"")</f>
        <v/>
      </c>
      <c r="K190" s="5" t="str">
        <f>IFERROR(__xludf.DUMMYFUNCTION("IF(X190&lt;&gt;"""", GOOGLETRANSLATE(X190, ""RO"", ""EN""), """")"),"")</f>
        <v/>
      </c>
      <c r="L190" s="5" t="str">
        <f>IFERROR(__xludf.DUMMYFUNCTION("IF(S190&lt;&gt;"""", GOOGLETRANSLATE(S190, ""RO"", ""EN""), """")"),"Ns")</f>
        <v>Ns</v>
      </c>
      <c r="M190" s="5" t="str">
        <f>IFERROR(__xludf.DUMMYFUNCTION("IF(T190&lt;&gt;"""", GOOGLETRANSLATE(T190, ""RO"", ""EN""), """")"),"No.")</f>
        <v>No.</v>
      </c>
      <c r="N190" s="5" t="str">
        <f>IFERROR(__xludf.DUMMYFUNCTION("IF(Y190&lt;&gt;"""", GOOGLETRANSLATE(Y190, ""RO"", ""EN""), """")"),"")</f>
        <v/>
      </c>
      <c r="P190" s="4" t="s">
        <v>270</v>
      </c>
      <c r="Q190" s="4" t="s">
        <v>582</v>
      </c>
      <c r="R190" s="4" t="s">
        <v>583</v>
      </c>
      <c r="S190" s="4" t="s">
        <v>103</v>
      </c>
      <c r="T190" s="4" t="s">
        <v>104</v>
      </c>
      <c r="U190" s="4" t="s">
        <v>584</v>
      </c>
      <c r="V190" s="4" t="s">
        <v>271</v>
      </c>
    </row>
    <row r="191" ht="15.75" customHeight="1">
      <c r="A191" s="4" t="s">
        <v>593</v>
      </c>
      <c r="B191" s="4" t="s">
        <v>594</v>
      </c>
      <c r="C191" s="4" t="str">
        <f>IFERROR(__xludf.DUMMYFUNCTION("GOOGLETRANSLATE(B191, ""RO"", ""EN"")"),"I would feel very guilty if I didn't vote.")</f>
        <v>I would feel very guilty if I didn't vote.</v>
      </c>
      <c r="D191" s="5" t="str">
        <f>IFERROR(__xludf.DUMMYFUNCTION("IF(O191&lt;&gt;"""", GOOGLETRANSLATE(O191, ""RO"", ""EN""), """")"),"")</f>
        <v/>
      </c>
      <c r="E191" s="6" t="str">
        <f>IFERROR(__xludf.DUMMYFUNCTION("IF(P191&lt;&gt;"""", GOOGLETRANSLATE(P191, ""RO"", ""EN""), """")"),"True")</f>
        <v>True</v>
      </c>
      <c r="F191" s="5" t="str">
        <f>IFERROR(__xludf.DUMMYFUNCTION("IF(Q191&lt;&gt;"""", GOOGLETRANSLATE(Q191, ""RO"", ""EN""), """")"),"Rather true")</f>
        <v>Rather true</v>
      </c>
      <c r="G191" s="5" t="str">
        <f>IFERROR(__xludf.DUMMYFUNCTION("IF(R191&lt;&gt;"""", GOOGLETRANSLATE(R191, ""RO"", ""EN""), """")"),"Sometimes true, sometimes false")</f>
        <v>Sometimes true, sometimes false</v>
      </c>
      <c r="H191" s="5" t="str">
        <f>IFERROR(__xludf.DUMMYFUNCTION("IF(U191&lt;&gt;"""", GOOGLETRANSLATE(U191, ""RO"", ""EN""), """")"),"Rather false")</f>
        <v>Rather false</v>
      </c>
      <c r="I191" s="5" t="str">
        <f>IFERROR(__xludf.DUMMYFUNCTION("IF(V191&lt;&gt;"""", GOOGLETRANSLATE(V191, ""RO"", ""EN""), """")"),"Fake")</f>
        <v>Fake</v>
      </c>
      <c r="J191" s="5" t="str">
        <f>IFERROR(__xludf.DUMMYFUNCTION("IF(W191&lt;&gt;"""", GOOGLETRANSLATE(W191, ""RO"", ""EN""), """")"),"")</f>
        <v/>
      </c>
      <c r="K191" s="5" t="str">
        <f>IFERROR(__xludf.DUMMYFUNCTION("IF(X191&lt;&gt;"""", GOOGLETRANSLATE(X191, ""RO"", ""EN""), """")"),"")</f>
        <v/>
      </c>
      <c r="L191" s="5" t="str">
        <f>IFERROR(__xludf.DUMMYFUNCTION("IF(S191&lt;&gt;"""", GOOGLETRANSLATE(S191, ""RO"", ""EN""), """")"),"Ns")</f>
        <v>Ns</v>
      </c>
      <c r="M191" s="5" t="str">
        <f>IFERROR(__xludf.DUMMYFUNCTION("IF(T191&lt;&gt;"""", GOOGLETRANSLATE(T191, ""RO"", ""EN""), """")"),"No.")</f>
        <v>No.</v>
      </c>
      <c r="N191" s="5" t="str">
        <f>IFERROR(__xludf.DUMMYFUNCTION("IF(Y191&lt;&gt;"""", GOOGLETRANSLATE(Y191, ""RO"", ""EN""), """")"),"")</f>
        <v/>
      </c>
      <c r="P191" s="4" t="s">
        <v>270</v>
      </c>
      <c r="Q191" s="4" t="s">
        <v>582</v>
      </c>
      <c r="R191" s="4" t="s">
        <v>583</v>
      </c>
      <c r="S191" s="4" t="s">
        <v>103</v>
      </c>
      <c r="T191" s="4" t="s">
        <v>104</v>
      </c>
      <c r="U191" s="4" t="s">
        <v>584</v>
      </c>
      <c r="V191" s="4" t="s">
        <v>271</v>
      </c>
    </row>
    <row r="192" ht="15.75" customHeight="1">
      <c r="A192" s="4" t="s">
        <v>595</v>
      </c>
      <c r="B192" s="4" t="s">
        <v>596</v>
      </c>
      <c r="C192" s="4" t="str">
        <f>IFERROR(__xludf.DUMMYFUNCTION("GOOGLETRANSLATE(B192, ""RO"", ""EN"")"),"When I vote I have a feeling of satisfaction.")</f>
        <v>When I vote I have a feeling of satisfaction.</v>
      </c>
      <c r="D192" s="5" t="str">
        <f>IFERROR(__xludf.DUMMYFUNCTION("IF(O192&lt;&gt;"""", GOOGLETRANSLATE(O192, ""RO"", ""EN""), """")"),"")</f>
        <v/>
      </c>
      <c r="E192" s="6" t="str">
        <f>IFERROR(__xludf.DUMMYFUNCTION("IF(P192&lt;&gt;"""", GOOGLETRANSLATE(P192, ""RO"", ""EN""), """")"),"True")</f>
        <v>True</v>
      </c>
      <c r="F192" s="5" t="str">
        <f>IFERROR(__xludf.DUMMYFUNCTION("IF(Q192&lt;&gt;"""", GOOGLETRANSLATE(Q192, ""RO"", ""EN""), """")"),"Rather true")</f>
        <v>Rather true</v>
      </c>
      <c r="G192" s="5" t="str">
        <f>IFERROR(__xludf.DUMMYFUNCTION("IF(R192&lt;&gt;"""", GOOGLETRANSLATE(R192, ""RO"", ""EN""), """")"),"Sometimes true, sometimes false")</f>
        <v>Sometimes true, sometimes false</v>
      </c>
      <c r="H192" s="5" t="str">
        <f>IFERROR(__xludf.DUMMYFUNCTION("IF(U192&lt;&gt;"""", GOOGLETRANSLATE(U192, ""RO"", ""EN""), """")"),"Rather false")</f>
        <v>Rather false</v>
      </c>
      <c r="I192" s="5" t="str">
        <f>IFERROR(__xludf.DUMMYFUNCTION("IF(V192&lt;&gt;"""", GOOGLETRANSLATE(V192, ""RO"", ""EN""), """")"),"Fake")</f>
        <v>Fake</v>
      </c>
      <c r="J192" s="5" t="str">
        <f>IFERROR(__xludf.DUMMYFUNCTION("IF(W192&lt;&gt;"""", GOOGLETRANSLATE(W192, ""RO"", ""EN""), """")"),"")</f>
        <v/>
      </c>
      <c r="K192" s="5" t="str">
        <f>IFERROR(__xludf.DUMMYFUNCTION("IF(X192&lt;&gt;"""", GOOGLETRANSLATE(X192, ""RO"", ""EN""), """")"),"")</f>
        <v/>
      </c>
      <c r="L192" s="5" t="str">
        <f>IFERROR(__xludf.DUMMYFUNCTION("IF(S192&lt;&gt;"""", GOOGLETRANSLATE(S192, ""RO"", ""EN""), """")"),"Ns")</f>
        <v>Ns</v>
      </c>
      <c r="M192" s="5" t="str">
        <f>IFERROR(__xludf.DUMMYFUNCTION("IF(T192&lt;&gt;"""", GOOGLETRANSLATE(T192, ""RO"", ""EN""), """")"),"No.")</f>
        <v>No.</v>
      </c>
      <c r="N192" s="5" t="str">
        <f>IFERROR(__xludf.DUMMYFUNCTION("IF(Y192&lt;&gt;"""", GOOGLETRANSLATE(Y192, ""RO"", ""EN""), """")"),"")</f>
        <v/>
      </c>
      <c r="P192" s="4" t="s">
        <v>270</v>
      </c>
      <c r="Q192" s="4" t="s">
        <v>582</v>
      </c>
      <c r="R192" s="4" t="s">
        <v>583</v>
      </c>
      <c r="S192" s="4" t="s">
        <v>103</v>
      </c>
      <c r="T192" s="4" t="s">
        <v>104</v>
      </c>
      <c r="U192" s="4" t="s">
        <v>584</v>
      </c>
      <c r="V192" s="4" t="s">
        <v>271</v>
      </c>
    </row>
    <row r="193" ht="15.75" customHeight="1">
      <c r="A193" s="4" t="s">
        <v>597</v>
      </c>
      <c r="B193" s="4" t="s">
        <v>598</v>
      </c>
      <c r="C193" s="4" t="str">
        <f>IFERROR(__xludf.DUMMYFUNCTION("GOOGLETRANSLATE(B193, ""RO"", ""EN"")"),"I would neglect my debt as a citizen if I did not vote.")</f>
        <v>I would neglect my debt as a citizen if I did not vote.</v>
      </c>
      <c r="D193" s="5" t="str">
        <f>IFERROR(__xludf.DUMMYFUNCTION("IF(O193&lt;&gt;"""", GOOGLETRANSLATE(O193, ""RO"", ""EN""), """")"),"")</f>
        <v/>
      </c>
      <c r="E193" s="6" t="str">
        <f>IFERROR(__xludf.DUMMYFUNCTION("IF(P193&lt;&gt;"""", GOOGLETRANSLATE(P193, ""RO"", ""EN""), """")"),"True")</f>
        <v>True</v>
      </c>
      <c r="F193" s="5" t="str">
        <f>IFERROR(__xludf.DUMMYFUNCTION("IF(Q193&lt;&gt;"""", GOOGLETRANSLATE(Q193, ""RO"", ""EN""), """")"),"Rather true")</f>
        <v>Rather true</v>
      </c>
      <c r="G193" s="5" t="str">
        <f>IFERROR(__xludf.DUMMYFUNCTION("IF(R193&lt;&gt;"""", GOOGLETRANSLATE(R193, ""RO"", ""EN""), """")"),"Sometimes true, sometimes false")</f>
        <v>Sometimes true, sometimes false</v>
      </c>
      <c r="H193" s="5" t="str">
        <f>IFERROR(__xludf.DUMMYFUNCTION("IF(U193&lt;&gt;"""", GOOGLETRANSLATE(U193, ""RO"", ""EN""), """")"),"Rather false")</f>
        <v>Rather false</v>
      </c>
      <c r="I193" s="5" t="str">
        <f>IFERROR(__xludf.DUMMYFUNCTION("IF(V193&lt;&gt;"""", GOOGLETRANSLATE(V193, ""RO"", ""EN""), """")"),"Fake")</f>
        <v>Fake</v>
      </c>
      <c r="J193" s="5" t="str">
        <f>IFERROR(__xludf.DUMMYFUNCTION("IF(W193&lt;&gt;"""", GOOGLETRANSLATE(W193, ""RO"", ""EN""), """")"),"")</f>
        <v/>
      </c>
      <c r="K193" s="5" t="str">
        <f>IFERROR(__xludf.DUMMYFUNCTION("IF(X193&lt;&gt;"""", GOOGLETRANSLATE(X193, ""RO"", ""EN""), """")"),"")</f>
        <v/>
      </c>
      <c r="L193" s="5" t="str">
        <f>IFERROR(__xludf.DUMMYFUNCTION("IF(S193&lt;&gt;"""", GOOGLETRANSLATE(S193, ""RO"", ""EN""), """")"),"Ns")</f>
        <v>Ns</v>
      </c>
      <c r="M193" s="5" t="str">
        <f>IFERROR(__xludf.DUMMYFUNCTION("IF(T193&lt;&gt;"""", GOOGLETRANSLATE(T193, ""RO"", ""EN""), """")"),"No.")</f>
        <v>No.</v>
      </c>
      <c r="N193" s="5" t="str">
        <f>IFERROR(__xludf.DUMMYFUNCTION("IF(Y193&lt;&gt;"""", GOOGLETRANSLATE(Y193, ""RO"", ""EN""), """")"),"")</f>
        <v/>
      </c>
      <c r="P193" s="4" t="s">
        <v>270</v>
      </c>
      <c r="Q193" s="4" t="s">
        <v>582</v>
      </c>
      <c r="R193" s="4" t="s">
        <v>583</v>
      </c>
      <c r="S193" s="4" t="s">
        <v>103</v>
      </c>
      <c r="T193" s="4" t="s">
        <v>104</v>
      </c>
      <c r="U193" s="4" t="s">
        <v>584</v>
      </c>
      <c r="V193" s="4" t="s">
        <v>271</v>
      </c>
    </row>
    <row r="194" ht="15.75" customHeight="1">
      <c r="A194" s="4" t="s">
        <v>599</v>
      </c>
      <c r="B194" s="4" t="s">
        <v>600</v>
      </c>
      <c r="C194" s="4" t="str">
        <f>IFERROR(__xludf.DUMMYFUNCTION("GOOGLETRANSLATE(B194, ""RO"", ""EN"")"),"On a scale from 0 to 10 where 0 means ""very shameful"" and 10 ""very praise"", how shameful or how praise would it be for a person if the others found out about it ...? did not vote on the last elections")</f>
        <v>On a scale from 0 to 10 where 0 means "very shameful" and 10 "very praise", how shameful or how praise would it be for a person if the others found out about it ...? did not vote on the last elections</v>
      </c>
      <c r="D194" s="5" t="str">
        <f>IFERROR(__xludf.DUMMYFUNCTION("IF(O194&lt;&gt;"""", GOOGLETRANSLATE(O194, ""RO"", ""EN""), """")"),"Very shameful")</f>
        <v>Very shameful</v>
      </c>
      <c r="E194" s="6" t="str">
        <f>IFERROR(__xludf.DUMMYFUNCTION("IF(P194&lt;&gt;"""", GOOGLETRANSLATE(P194, ""RO"", ""EN""), """")"),"1")</f>
        <v>1</v>
      </c>
      <c r="F194" s="5" t="str">
        <f>IFERROR(__xludf.DUMMYFUNCTION("IF(Q194&lt;&gt;"""", GOOGLETRANSLATE(Q194, ""RO"", ""EN""), """")"),"2")</f>
        <v>2</v>
      </c>
      <c r="G194" s="5" t="str">
        <f>IFERROR(__xludf.DUMMYFUNCTION("IF(R194&lt;&gt;"""", GOOGLETRANSLATE(R194, ""RO"", ""EN""), """")"),"3")</f>
        <v>3</v>
      </c>
      <c r="H194" s="5" t="str">
        <f>IFERROR(__xludf.DUMMYFUNCTION("IF(U194&lt;&gt;"""", GOOGLETRANSLATE(U194, ""RO"", ""EN""), """")"),"4")</f>
        <v>4</v>
      </c>
      <c r="I194" s="5" t="str">
        <f>IFERROR(__xludf.DUMMYFUNCTION("IF(V194&lt;&gt;"""", GOOGLETRANSLATE(V194, ""RO"", ""EN""), """")"),"Neither ..., no ...")</f>
        <v>Neither ..., no ...</v>
      </c>
      <c r="J194" s="5" t="str">
        <f>IFERROR(__xludf.DUMMYFUNCTION("IF(W194&lt;&gt;"""", GOOGLETRANSLATE(W194, ""RO"", ""EN""), """")"),"6")</f>
        <v>6</v>
      </c>
      <c r="K194" s="5" t="str">
        <f>IFERROR(__xludf.DUMMYFUNCTION("IF(X194&lt;&gt;"""", GOOGLETRANSLATE(X194, ""RO"", ""EN""), """")"),"7")</f>
        <v>7</v>
      </c>
      <c r="L194" s="5" t="str">
        <f>IFERROR(__xludf.DUMMYFUNCTION("IF(S194&lt;&gt;"""", GOOGLETRANSLATE(S194, ""RO"", ""EN""), """")"),"8")</f>
        <v>8</v>
      </c>
      <c r="M194" s="5" t="str">
        <f>IFERROR(__xludf.DUMMYFUNCTION("IF(T194&lt;&gt;"""", GOOGLETRANSLATE(T194, ""RO"", ""EN""), """")"),"9")</f>
        <v>9</v>
      </c>
      <c r="N194" s="5" t="str">
        <f>IFERROR(__xludf.DUMMYFUNCTION("IF(Y194&lt;&gt;"""", GOOGLETRANSLATE(Y194, ""RO"", ""EN""), """")"),"Very praise")</f>
        <v>Very praise</v>
      </c>
      <c r="O194" s="4" t="s">
        <v>601</v>
      </c>
      <c r="P194" s="4" t="s">
        <v>168</v>
      </c>
      <c r="Q194" s="4" t="s">
        <v>169</v>
      </c>
      <c r="R194" s="4" t="s">
        <v>170</v>
      </c>
      <c r="S194" s="4" t="s">
        <v>171</v>
      </c>
      <c r="T194" s="4" t="s">
        <v>172</v>
      </c>
      <c r="U194" s="4" t="s">
        <v>173</v>
      </c>
      <c r="V194" s="4" t="s">
        <v>602</v>
      </c>
      <c r="W194" s="4" t="s">
        <v>175</v>
      </c>
      <c r="X194" s="4" t="s">
        <v>176</v>
      </c>
      <c r="Y194" s="4" t="s">
        <v>603</v>
      </c>
      <c r="AA194" s="4" t="s">
        <v>103</v>
      </c>
      <c r="AB194" s="4" t="s">
        <v>104</v>
      </c>
    </row>
    <row r="195" ht="15.75" customHeight="1">
      <c r="A195" s="4" t="s">
        <v>604</v>
      </c>
      <c r="B195" s="4" t="s">
        <v>605</v>
      </c>
      <c r="C195" s="4" t="str">
        <f>IFERROR(__xludf.DUMMYFUNCTION("GOOGLETRANSLATE(B195, ""RO"", ""EN"")"),"was never to vote")</f>
        <v>was never to vote</v>
      </c>
      <c r="D195" s="5" t="str">
        <f>IFERROR(__xludf.DUMMYFUNCTION("IF(O195&lt;&gt;"""", GOOGLETRANSLATE(O195, ""RO"", ""EN""), """")"),"Very shameful")</f>
        <v>Very shameful</v>
      </c>
      <c r="E195" s="6" t="str">
        <f>IFERROR(__xludf.DUMMYFUNCTION("IF(P195&lt;&gt;"""", GOOGLETRANSLATE(P195, ""RO"", ""EN""), """")"),"1")</f>
        <v>1</v>
      </c>
      <c r="F195" s="5" t="str">
        <f>IFERROR(__xludf.DUMMYFUNCTION("IF(Q195&lt;&gt;"""", GOOGLETRANSLATE(Q195, ""RO"", ""EN""), """")"),"2")</f>
        <v>2</v>
      </c>
      <c r="G195" s="5" t="str">
        <f>IFERROR(__xludf.DUMMYFUNCTION("IF(R195&lt;&gt;"""", GOOGLETRANSLATE(R195, ""RO"", ""EN""), """")"),"3")</f>
        <v>3</v>
      </c>
      <c r="H195" s="5" t="str">
        <f>IFERROR(__xludf.DUMMYFUNCTION("IF(U195&lt;&gt;"""", GOOGLETRANSLATE(U195, ""RO"", ""EN""), """")"),"4")</f>
        <v>4</v>
      </c>
      <c r="I195" s="5" t="str">
        <f>IFERROR(__xludf.DUMMYFUNCTION("IF(V195&lt;&gt;"""", GOOGLETRANSLATE(V195, ""RO"", ""EN""), """")"),"Neither ..., no ...")</f>
        <v>Neither ..., no ...</v>
      </c>
      <c r="J195" s="5" t="str">
        <f>IFERROR(__xludf.DUMMYFUNCTION("IF(W195&lt;&gt;"""", GOOGLETRANSLATE(W195, ""RO"", ""EN""), """")"),"6")</f>
        <v>6</v>
      </c>
      <c r="K195" s="5" t="str">
        <f>IFERROR(__xludf.DUMMYFUNCTION("IF(X195&lt;&gt;"""", GOOGLETRANSLATE(X195, ""RO"", ""EN""), """")"),"7")</f>
        <v>7</v>
      </c>
      <c r="L195" s="5" t="str">
        <f>IFERROR(__xludf.DUMMYFUNCTION("IF(S195&lt;&gt;"""", GOOGLETRANSLATE(S195, ""RO"", ""EN""), """")"),"8")</f>
        <v>8</v>
      </c>
      <c r="M195" s="5" t="str">
        <f>IFERROR(__xludf.DUMMYFUNCTION("IF(T195&lt;&gt;"""", GOOGLETRANSLATE(T195, ""RO"", ""EN""), """")"),"9")</f>
        <v>9</v>
      </c>
      <c r="N195" s="5" t="str">
        <f>IFERROR(__xludf.DUMMYFUNCTION("IF(Y195&lt;&gt;"""", GOOGLETRANSLATE(Y195, ""RO"", ""EN""), """")"),"Very praise")</f>
        <v>Very praise</v>
      </c>
      <c r="O195" s="4" t="s">
        <v>601</v>
      </c>
      <c r="P195" s="4" t="s">
        <v>168</v>
      </c>
      <c r="Q195" s="4" t="s">
        <v>169</v>
      </c>
      <c r="R195" s="4" t="s">
        <v>170</v>
      </c>
      <c r="S195" s="4" t="s">
        <v>171</v>
      </c>
      <c r="T195" s="4" t="s">
        <v>172</v>
      </c>
      <c r="U195" s="4" t="s">
        <v>173</v>
      </c>
      <c r="V195" s="4" t="s">
        <v>602</v>
      </c>
      <c r="W195" s="4" t="s">
        <v>175</v>
      </c>
      <c r="X195" s="4" t="s">
        <v>176</v>
      </c>
      <c r="Y195" s="4" t="s">
        <v>603</v>
      </c>
      <c r="AA195" s="4" t="s">
        <v>103</v>
      </c>
      <c r="AB195" s="4" t="s">
        <v>104</v>
      </c>
    </row>
    <row r="196" ht="15.75" customHeight="1">
      <c r="A196" s="4" t="s">
        <v>606</v>
      </c>
      <c r="B196" s="4" t="s">
        <v>607</v>
      </c>
      <c r="C196" s="4" t="str">
        <f>IFERROR(__xludf.DUMMYFUNCTION("GOOGLETRANSLATE(B196, ""RO"", ""EN"")"),"To what extent do you think your life and your family are influenced by the decisions taken by [...]? Specify your answer using the next scale where 0 means at all and 10 a lot. ... City Hall and Council in your locality.")</f>
        <v>To what extent do you think your life and your family are influenced by the decisions taken by [...]? Specify your answer using the next scale where 0 means at all and 10 a lot. ... City Hall and Council in your locality.</v>
      </c>
      <c r="D196" s="5" t="str">
        <f>IFERROR(__xludf.DUMMYFUNCTION("IF(O196&lt;&gt;"""", GOOGLETRANSLATE(O196, ""RO"", ""EN""), """")"),"Not at all")</f>
        <v>Not at all</v>
      </c>
      <c r="E196" s="6" t="str">
        <f>IFERROR(__xludf.DUMMYFUNCTION("IF(P196&lt;&gt;"""", GOOGLETRANSLATE(P196, ""RO"", ""EN""), """")"),"1")</f>
        <v>1</v>
      </c>
      <c r="F196" s="5" t="str">
        <f>IFERROR(__xludf.DUMMYFUNCTION("IF(Q196&lt;&gt;"""", GOOGLETRANSLATE(Q196, ""RO"", ""EN""), """")"),"2")</f>
        <v>2</v>
      </c>
      <c r="G196" s="5" t="str">
        <f>IFERROR(__xludf.DUMMYFUNCTION("IF(R196&lt;&gt;"""", GOOGLETRANSLATE(R196, ""RO"", ""EN""), """")"),"3")</f>
        <v>3</v>
      </c>
      <c r="H196" s="5" t="str">
        <f>IFERROR(__xludf.DUMMYFUNCTION("IF(U196&lt;&gt;"""", GOOGLETRANSLATE(U196, ""RO"", ""EN""), """")"),"4")</f>
        <v>4</v>
      </c>
      <c r="I196" s="5" t="str">
        <f>IFERROR(__xludf.DUMMYFUNCTION("IF(V196&lt;&gt;"""", GOOGLETRANSLATE(V196, ""RO"", ""EN""), """")"),"5")</f>
        <v>5</v>
      </c>
      <c r="J196" s="5" t="str">
        <f>IFERROR(__xludf.DUMMYFUNCTION("IF(W196&lt;&gt;"""", GOOGLETRANSLATE(W196, ""RO"", ""EN""), """")"),"6")</f>
        <v>6</v>
      </c>
      <c r="K196" s="5" t="str">
        <f>IFERROR(__xludf.DUMMYFUNCTION("IF(X196&lt;&gt;"""", GOOGLETRANSLATE(X196, ""RO"", ""EN""), """")"),"7")</f>
        <v>7</v>
      </c>
      <c r="L196" s="5" t="str">
        <f>IFERROR(__xludf.DUMMYFUNCTION("IF(S196&lt;&gt;"""", GOOGLETRANSLATE(S196, ""RO"", ""EN""), """")"),"8")</f>
        <v>8</v>
      </c>
      <c r="M196" s="5" t="str">
        <f>IFERROR(__xludf.DUMMYFUNCTION("IF(T196&lt;&gt;"""", GOOGLETRANSLATE(T196, ""RO"", ""EN""), """")"),"9")</f>
        <v>9</v>
      </c>
      <c r="N196" s="5" t="str">
        <f>IFERROR(__xludf.DUMMYFUNCTION("IF(Y196&lt;&gt;"""", GOOGLETRANSLATE(Y196, ""RO"", ""EN""), """")"),"Very much")</f>
        <v>Very much</v>
      </c>
      <c r="O196" s="4" t="s">
        <v>363</v>
      </c>
      <c r="P196" s="4" t="s">
        <v>168</v>
      </c>
      <c r="Q196" s="4" t="s">
        <v>169</v>
      </c>
      <c r="R196" s="4" t="s">
        <v>170</v>
      </c>
      <c r="S196" s="4" t="s">
        <v>171</v>
      </c>
      <c r="T196" s="4" t="s">
        <v>172</v>
      </c>
      <c r="U196" s="4" t="s">
        <v>173</v>
      </c>
      <c r="V196" s="4" t="s">
        <v>174</v>
      </c>
      <c r="W196" s="4" t="s">
        <v>175</v>
      </c>
      <c r="X196" s="4" t="s">
        <v>176</v>
      </c>
      <c r="Y196" s="4" t="s">
        <v>608</v>
      </c>
      <c r="AA196" s="4" t="s">
        <v>103</v>
      </c>
      <c r="AB196" s="4" t="s">
        <v>104</v>
      </c>
    </row>
    <row r="197" ht="15.75" customHeight="1">
      <c r="A197" s="4" t="s">
        <v>609</v>
      </c>
      <c r="B197" s="4" t="s">
        <v>610</v>
      </c>
      <c r="C197" s="4" t="str">
        <f>IFERROR(__xludf.DUMMYFUNCTION("GOOGLETRANSLATE(B197, ""RO"", ""EN"")"),"... The Government of Romania")</f>
        <v>... The Government of Romania</v>
      </c>
      <c r="D197" s="5" t="str">
        <f>IFERROR(__xludf.DUMMYFUNCTION("IF(O197&lt;&gt;"""", GOOGLETRANSLATE(O197, ""RO"", ""EN""), """")"),"Not at all")</f>
        <v>Not at all</v>
      </c>
      <c r="E197" s="6" t="str">
        <f>IFERROR(__xludf.DUMMYFUNCTION("IF(P197&lt;&gt;"""", GOOGLETRANSLATE(P197, ""RO"", ""EN""), """")"),"1")</f>
        <v>1</v>
      </c>
      <c r="F197" s="5" t="str">
        <f>IFERROR(__xludf.DUMMYFUNCTION("IF(Q197&lt;&gt;"""", GOOGLETRANSLATE(Q197, ""RO"", ""EN""), """")"),"2")</f>
        <v>2</v>
      </c>
      <c r="G197" s="5" t="str">
        <f>IFERROR(__xludf.DUMMYFUNCTION("IF(R197&lt;&gt;"""", GOOGLETRANSLATE(R197, ""RO"", ""EN""), """")"),"3")</f>
        <v>3</v>
      </c>
      <c r="H197" s="5" t="str">
        <f>IFERROR(__xludf.DUMMYFUNCTION("IF(U197&lt;&gt;"""", GOOGLETRANSLATE(U197, ""RO"", ""EN""), """")"),"4")</f>
        <v>4</v>
      </c>
      <c r="I197" s="5" t="str">
        <f>IFERROR(__xludf.DUMMYFUNCTION("IF(V197&lt;&gt;"""", GOOGLETRANSLATE(V197, ""RO"", ""EN""), """")"),"5")</f>
        <v>5</v>
      </c>
      <c r="J197" s="5" t="str">
        <f>IFERROR(__xludf.DUMMYFUNCTION("IF(W197&lt;&gt;"""", GOOGLETRANSLATE(W197, ""RO"", ""EN""), """")"),"6")</f>
        <v>6</v>
      </c>
      <c r="K197" s="5" t="str">
        <f>IFERROR(__xludf.DUMMYFUNCTION("IF(X197&lt;&gt;"""", GOOGLETRANSLATE(X197, ""RO"", ""EN""), """")"),"7")</f>
        <v>7</v>
      </c>
      <c r="L197" s="5" t="str">
        <f>IFERROR(__xludf.DUMMYFUNCTION("IF(S197&lt;&gt;"""", GOOGLETRANSLATE(S197, ""RO"", ""EN""), """")"),"8")</f>
        <v>8</v>
      </c>
      <c r="M197" s="5" t="str">
        <f>IFERROR(__xludf.DUMMYFUNCTION("IF(T197&lt;&gt;"""", GOOGLETRANSLATE(T197, ""RO"", ""EN""), """")"),"9")</f>
        <v>9</v>
      </c>
      <c r="N197" s="5" t="str">
        <f>IFERROR(__xludf.DUMMYFUNCTION("IF(Y197&lt;&gt;"""", GOOGLETRANSLATE(Y197, ""RO"", ""EN""), """")"),"Very much")</f>
        <v>Very much</v>
      </c>
      <c r="O197" s="4" t="s">
        <v>363</v>
      </c>
      <c r="P197" s="4" t="s">
        <v>168</v>
      </c>
      <c r="Q197" s="4" t="s">
        <v>169</v>
      </c>
      <c r="R197" s="4" t="s">
        <v>170</v>
      </c>
      <c r="S197" s="4" t="s">
        <v>171</v>
      </c>
      <c r="T197" s="4" t="s">
        <v>172</v>
      </c>
      <c r="U197" s="4" t="s">
        <v>173</v>
      </c>
      <c r="V197" s="4" t="s">
        <v>174</v>
      </c>
      <c r="W197" s="4" t="s">
        <v>175</v>
      </c>
      <c r="X197" s="4" t="s">
        <v>176</v>
      </c>
      <c r="Y197" s="4" t="s">
        <v>608</v>
      </c>
      <c r="AA197" s="4" t="s">
        <v>103</v>
      </c>
      <c r="AB197" s="4" t="s">
        <v>104</v>
      </c>
    </row>
    <row r="198" ht="15.75" customHeight="1">
      <c r="A198" s="4" t="s">
        <v>611</v>
      </c>
      <c r="B198" s="4" t="s">
        <v>612</v>
      </c>
      <c r="C198" s="4" t="str">
        <f>IFERROR(__xludf.DUMMYFUNCTION("GOOGLETRANSLATE(B198, ""RO"", ""EN"")"),"... the Romanian parliament")</f>
        <v>... the Romanian parliament</v>
      </c>
      <c r="D198" s="5" t="str">
        <f>IFERROR(__xludf.DUMMYFUNCTION("IF(O198&lt;&gt;"""", GOOGLETRANSLATE(O198, ""RO"", ""EN""), """")"),"Not at all")</f>
        <v>Not at all</v>
      </c>
      <c r="E198" s="6" t="str">
        <f>IFERROR(__xludf.DUMMYFUNCTION("IF(P198&lt;&gt;"""", GOOGLETRANSLATE(P198, ""RO"", ""EN""), """")"),"1")</f>
        <v>1</v>
      </c>
      <c r="F198" s="5" t="str">
        <f>IFERROR(__xludf.DUMMYFUNCTION("IF(Q198&lt;&gt;"""", GOOGLETRANSLATE(Q198, ""RO"", ""EN""), """")"),"2")</f>
        <v>2</v>
      </c>
      <c r="G198" s="5" t="str">
        <f>IFERROR(__xludf.DUMMYFUNCTION("IF(R198&lt;&gt;"""", GOOGLETRANSLATE(R198, ""RO"", ""EN""), """")"),"3")</f>
        <v>3</v>
      </c>
      <c r="H198" s="5" t="str">
        <f>IFERROR(__xludf.DUMMYFUNCTION("IF(U198&lt;&gt;"""", GOOGLETRANSLATE(U198, ""RO"", ""EN""), """")"),"4")</f>
        <v>4</v>
      </c>
      <c r="I198" s="5" t="str">
        <f>IFERROR(__xludf.DUMMYFUNCTION("IF(V198&lt;&gt;"""", GOOGLETRANSLATE(V198, ""RO"", ""EN""), """")"),"5")</f>
        <v>5</v>
      </c>
      <c r="J198" s="5" t="str">
        <f>IFERROR(__xludf.DUMMYFUNCTION("IF(W198&lt;&gt;"""", GOOGLETRANSLATE(W198, ""RO"", ""EN""), """")"),"6")</f>
        <v>6</v>
      </c>
      <c r="K198" s="5" t="str">
        <f>IFERROR(__xludf.DUMMYFUNCTION("IF(X198&lt;&gt;"""", GOOGLETRANSLATE(X198, ""RO"", ""EN""), """")"),"7")</f>
        <v>7</v>
      </c>
      <c r="L198" s="5" t="str">
        <f>IFERROR(__xludf.DUMMYFUNCTION("IF(S198&lt;&gt;"""", GOOGLETRANSLATE(S198, ""RO"", ""EN""), """")"),"8")</f>
        <v>8</v>
      </c>
      <c r="M198" s="5" t="str">
        <f>IFERROR(__xludf.DUMMYFUNCTION("IF(T198&lt;&gt;"""", GOOGLETRANSLATE(T198, ""RO"", ""EN""), """")"),"9")</f>
        <v>9</v>
      </c>
      <c r="N198" s="5" t="str">
        <f>IFERROR(__xludf.DUMMYFUNCTION("IF(Y198&lt;&gt;"""", GOOGLETRANSLATE(Y198, ""RO"", ""EN""), """")"),"Very much")</f>
        <v>Very much</v>
      </c>
      <c r="O198" s="4" t="s">
        <v>363</v>
      </c>
      <c r="P198" s="4" t="s">
        <v>168</v>
      </c>
      <c r="Q198" s="4" t="s">
        <v>169</v>
      </c>
      <c r="R198" s="4" t="s">
        <v>170</v>
      </c>
      <c r="S198" s="4" t="s">
        <v>171</v>
      </c>
      <c r="T198" s="4" t="s">
        <v>172</v>
      </c>
      <c r="U198" s="4" t="s">
        <v>173</v>
      </c>
      <c r="V198" s="4" t="s">
        <v>174</v>
      </c>
      <c r="W198" s="4" t="s">
        <v>175</v>
      </c>
      <c r="X198" s="4" t="s">
        <v>176</v>
      </c>
      <c r="Y198" s="4" t="s">
        <v>608</v>
      </c>
      <c r="AA198" s="4" t="s">
        <v>103</v>
      </c>
      <c r="AB198" s="4" t="s">
        <v>104</v>
      </c>
    </row>
    <row r="199" ht="15.75" customHeight="1">
      <c r="A199" s="4" t="s">
        <v>613</v>
      </c>
      <c r="B199" s="4" t="s">
        <v>614</v>
      </c>
      <c r="C199" s="4" t="str">
        <f>IFERROR(__xludf.DUMMYFUNCTION("GOOGLETRANSLATE(B199, ""RO"", ""EN"")"),"... President of Romania")</f>
        <v>... President of Romania</v>
      </c>
      <c r="D199" s="5" t="str">
        <f>IFERROR(__xludf.DUMMYFUNCTION("IF(O199&lt;&gt;"""", GOOGLETRANSLATE(O199, ""RO"", ""EN""), """")"),"Not at all")</f>
        <v>Not at all</v>
      </c>
      <c r="E199" s="6" t="str">
        <f>IFERROR(__xludf.DUMMYFUNCTION("IF(P199&lt;&gt;"""", GOOGLETRANSLATE(P199, ""RO"", ""EN""), """")"),"1")</f>
        <v>1</v>
      </c>
      <c r="F199" s="5" t="str">
        <f>IFERROR(__xludf.DUMMYFUNCTION("IF(Q199&lt;&gt;"""", GOOGLETRANSLATE(Q199, ""RO"", ""EN""), """")"),"2")</f>
        <v>2</v>
      </c>
      <c r="G199" s="5" t="str">
        <f>IFERROR(__xludf.DUMMYFUNCTION("IF(R199&lt;&gt;"""", GOOGLETRANSLATE(R199, ""RO"", ""EN""), """")"),"3")</f>
        <v>3</v>
      </c>
      <c r="H199" s="5" t="str">
        <f>IFERROR(__xludf.DUMMYFUNCTION("IF(U199&lt;&gt;"""", GOOGLETRANSLATE(U199, ""RO"", ""EN""), """")"),"4")</f>
        <v>4</v>
      </c>
      <c r="I199" s="5" t="str">
        <f>IFERROR(__xludf.DUMMYFUNCTION("IF(V199&lt;&gt;"""", GOOGLETRANSLATE(V199, ""RO"", ""EN""), """")"),"5")</f>
        <v>5</v>
      </c>
      <c r="J199" s="5" t="str">
        <f>IFERROR(__xludf.DUMMYFUNCTION("IF(W199&lt;&gt;"""", GOOGLETRANSLATE(W199, ""RO"", ""EN""), """")"),"6")</f>
        <v>6</v>
      </c>
      <c r="K199" s="5" t="str">
        <f>IFERROR(__xludf.DUMMYFUNCTION("IF(X199&lt;&gt;"""", GOOGLETRANSLATE(X199, ""RO"", ""EN""), """")"),"7")</f>
        <v>7</v>
      </c>
      <c r="L199" s="5" t="str">
        <f>IFERROR(__xludf.DUMMYFUNCTION("IF(S199&lt;&gt;"""", GOOGLETRANSLATE(S199, ""RO"", ""EN""), """")"),"8")</f>
        <v>8</v>
      </c>
      <c r="M199" s="5" t="str">
        <f>IFERROR(__xludf.DUMMYFUNCTION("IF(T199&lt;&gt;"""", GOOGLETRANSLATE(T199, ""RO"", ""EN""), """")"),"9")</f>
        <v>9</v>
      </c>
      <c r="N199" s="5" t="str">
        <f>IFERROR(__xludf.DUMMYFUNCTION("IF(Y199&lt;&gt;"""", GOOGLETRANSLATE(Y199, ""RO"", ""EN""), """")"),"Very much")</f>
        <v>Very much</v>
      </c>
      <c r="O199" s="4" t="s">
        <v>363</v>
      </c>
      <c r="P199" s="4" t="s">
        <v>168</v>
      </c>
      <c r="Q199" s="4" t="s">
        <v>169</v>
      </c>
      <c r="R199" s="4" t="s">
        <v>170</v>
      </c>
      <c r="S199" s="4" t="s">
        <v>171</v>
      </c>
      <c r="T199" s="4" t="s">
        <v>172</v>
      </c>
      <c r="U199" s="4" t="s">
        <v>173</v>
      </c>
      <c r="V199" s="4" t="s">
        <v>174</v>
      </c>
      <c r="W199" s="4" t="s">
        <v>175</v>
      </c>
      <c r="X199" s="4" t="s">
        <v>176</v>
      </c>
      <c r="Y199" s="4" t="s">
        <v>608</v>
      </c>
      <c r="AA199" s="4" t="s">
        <v>103</v>
      </c>
      <c r="AB199" s="4" t="s">
        <v>104</v>
      </c>
    </row>
    <row r="200" ht="15.75" customHeight="1">
      <c r="A200" s="4" t="s">
        <v>615</v>
      </c>
      <c r="B200" s="4" t="s">
        <v>616</v>
      </c>
      <c r="C200" s="4" t="str">
        <f>IFERROR(__xludf.DUMMYFUNCTION("GOOGLETRANSLATE(B200, ""RO"", ""EN"")"),"In general, do you think that the way things go to Romania depends on the result of the elections ...? Use this scale to indicate the answer - 0 means that the way things go to Romania does not depend at all on the result of the elections, and 10")</f>
        <v>In general, do you think that the way things go to Romania depends on the result of the elections ...? Use this scale to indicate the answer - 0 means that the way things go to Romania does not depend at all on the result of the elections, and 10</v>
      </c>
      <c r="D200" s="5" t="str">
        <f>IFERROR(__xludf.DUMMYFUNCTION("IF(O200&lt;&gt;"""", GOOGLETRANSLATE(O200, ""RO"", ""EN""), """")"),"Not at all")</f>
        <v>Not at all</v>
      </c>
      <c r="E200" s="6" t="str">
        <f>IFERROR(__xludf.DUMMYFUNCTION("IF(P200&lt;&gt;"""", GOOGLETRANSLATE(P200, ""RO"", ""EN""), """")"),"1")</f>
        <v>1</v>
      </c>
      <c r="F200" s="5" t="str">
        <f>IFERROR(__xludf.DUMMYFUNCTION("IF(Q200&lt;&gt;"""", GOOGLETRANSLATE(Q200, ""RO"", ""EN""), """")"),"2")</f>
        <v>2</v>
      </c>
      <c r="G200" s="5" t="str">
        <f>IFERROR(__xludf.DUMMYFUNCTION("IF(R200&lt;&gt;"""", GOOGLETRANSLATE(R200, ""RO"", ""EN""), """")"),"3")</f>
        <v>3</v>
      </c>
      <c r="H200" s="5" t="str">
        <f>IFERROR(__xludf.DUMMYFUNCTION("IF(U200&lt;&gt;"""", GOOGLETRANSLATE(U200, ""RO"", ""EN""), """")"),"4")</f>
        <v>4</v>
      </c>
      <c r="I200" s="5" t="str">
        <f>IFERROR(__xludf.DUMMYFUNCTION("IF(V200&lt;&gt;"""", GOOGLETRANSLATE(V200, ""RO"", ""EN""), """")"),"5")</f>
        <v>5</v>
      </c>
      <c r="J200" s="5" t="str">
        <f>IFERROR(__xludf.DUMMYFUNCTION("IF(W200&lt;&gt;"""", GOOGLETRANSLATE(W200, ""RO"", ""EN""), """")"),"6")</f>
        <v>6</v>
      </c>
      <c r="K200" s="5" t="str">
        <f>IFERROR(__xludf.DUMMYFUNCTION("IF(X200&lt;&gt;"""", GOOGLETRANSLATE(X200, ""RO"", ""EN""), """")"),"7")</f>
        <v>7</v>
      </c>
      <c r="L200" s="5" t="str">
        <f>IFERROR(__xludf.DUMMYFUNCTION("IF(S200&lt;&gt;"""", GOOGLETRANSLATE(S200, ""RO"", ""EN""), """")"),"8")</f>
        <v>8</v>
      </c>
      <c r="M200" s="5" t="str">
        <f>IFERROR(__xludf.DUMMYFUNCTION("IF(T200&lt;&gt;"""", GOOGLETRANSLATE(T200, ""RO"", ""EN""), """")"),"9")</f>
        <v>9</v>
      </c>
      <c r="N200" s="5" t="str">
        <f>IFERROR(__xludf.DUMMYFUNCTION("IF(Y200&lt;&gt;"""", GOOGLETRANSLATE(Y200, ""RO"", ""EN""), """")"),"Very much")</f>
        <v>Very much</v>
      </c>
      <c r="O200" s="4" t="s">
        <v>363</v>
      </c>
      <c r="P200" s="4" t="s">
        <v>168</v>
      </c>
      <c r="Q200" s="4" t="s">
        <v>169</v>
      </c>
      <c r="R200" s="4" t="s">
        <v>170</v>
      </c>
      <c r="S200" s="4" t="s">
        <v>171</v>
      </c>
      <c r="T200" s="4" t="s">
        <v>172</v>
      </c>
      <c r="U200" s="4" t="s">
        <v>173</v>
      </c>
      <c r="V200" s="4" t="s">
        <v>174</v>
      </c>
      <c r="W200" s="4" t="s">
        <v>175</v>
      </c>
      <c r="X200" s="4" t="s">
        <v>176</v>
      </c>
      <c r="Y200" s="4" t="s">
        <v>608</v>
      </c>
      <c r="AA200" s="4" t="s">
        <v>103</v>
      </c>
      <c r="AB200" s="4" t="s">
        <v>104</v>
      </c>
    </row>
    <row r="201" ht="15.75" customHeight="1">
      <c r="A201" s="4" t="s">
        <v>617</v>
      </c>
      <c r="B201" s="4" t="s">
        <v>618</v>
      </c>
      <c r="C201" s="4" t="str">
        <f>IFERROR(__xludf.DUMMYFUNCTION("GOOGLETRANSLATE(B201, ""RO"", ""EN"")"),"... parliamentary")</f>
        <v>... parliamentary</v>
      </c>
      <c r="D201" s="5" t="str">
        <f>IFERROR(__xludf.DUMMYFUNCTION("IF(O201&lt;&gt;"""", GOOGLETRANSLATE(O201, ""RO"", ""EN""), """")"),"Not at all")</f>
        <v>Not at all</v>
      </c>
      <c r="E201" s="6" t="str">
        <f>IFERROR(__xludf.DUMMYFUNCTION("IF(P201&lt;&gt;"""", GOOGLETRANSLATE(P201, ""RO"", ""EN""), """")"),"1")</f>
        <v>1</v>
      </c>
      <c r="F201" s="5" t="str">
        <f>IFERROR(__xludf.DUMMYFUNCTION("IF(Q201&lt;&gt;"""", GOOGLETRANSLATE(Q201, ""RO"", ""EN""), """")"),"2")</f>
        <v>2</v>
      </c>
      <c r="G201" s="5" t="str">
        <f>IFERROR(__xludf.DUMMYFUNCTION("IF(R201&lt;&gt;"""", GOOGLETRANSLATE(R201, ""RO"", ""EN""), """")"),"3")</f>
        <v>3</v>
      </c>
      <c r="H201" s="5" t="str">
        <f>IFERROR(__xludf.DUMMYFUNCTION("IF(U201&lt;&gt;"""", GOOGLETRANSLATE(U201, ""RO"", ""EN""), """")"),"4")</f>
        <v>4</v>
      </c>
      <c r="I201" s="5" t="str">
        <f>IFERROR(__xludf.DUMMYFUNCTION("IF(V201&lt;&gt;"""", GOOGLETRANSLATE(V201, ""RO"", ""EN""), """")"),"5")</f>
        <v>5</v>
      </c>
      <c r="J201" s="5" t="str">
        <f>IFERROR(__xludf.DUMMYFUNCTION("IF(W201&lt;&gt;"""", GOOGLETRANSLATE(W201, ""RO"", ""EN""), """")"),"6")</f>
        <v>6</v>
      </c>
      <c r="K201" s="5" t="str">
        <f>IFERROR(__xludf.DUMMYFUNCTION("IF(X201&lt;&gt;"""", GOOGLETRANSLATE(X201, ""RO"", ""EN""), """")"),"7")</f>
        <v>7</v>
      </c>
      <c r="L201" s="5" t="str">
        <f>IFERROR(__xludf.DUMMYFUNCTION("IF(S201&lt;&gt;"""", GOOGLETRANSLATE(S201, ""RO"", ""EN""), """")"),"8")</f>
        <v>8</v>
      </c>
      <c r="M201" s="5" t="str">
        <f>IFERROR(__xludf.DUMMYFUNCTION("IF(T201&lt;&gt;"""", GOOGLETRANSLATE(T201, ""RO"", ""EN""), """")"),"9")</f>
        <v>9</v>
      </c>
      <c r="N201" s="5" t="str">
        <f>IFERROR(__xludf.DUMMYFUNCTION("IF(Y201&lt;&gt;"""", GOOGLETRANSLATE(Y201, ""RO"", ""EN""), """")"),"Very much")</f>
        <v>Very much</v>
      </c>
      <c r="O201" s="4" t="s">
        <v>363</v>
      </c>
      <c r="P201" s="4" t="s">
        <v>168</v>
      </c>
      <c r="Q201" s="4" t="s">
        <v>169</v>
      </c>
      <c r="R201" s="4" t="s">
        <v>170</v>
      </c>
      <c r="S201" s="4" t="s">
        <v>171</v>
      </c>
      <c r="T201" s="4" t="s">
        <v>172</v>
      </c>
      <c r="U201" s="4" t="s">
        <v>173</v>
      </c>
      <c r="V201" s="4" t="s">
        <v>174</v>
      </c>
      <c r="W201" s="4" t="s">
        <v>175</v>
      </c>
      <c r="X201" s="4" t="s">
        <v>176</v>
      </c>
      <c r="Y201" s="4" t="s">
        <v>608</v>
      </c>
      <c r="AA201" s="4" t="s">
        <v>103</v>
      </c>
      <c r="AB201" s="4" t="s">
        <v>104</v>
      </c>
    </row>
    <row r="202" ht="15.75" customHeight="1">
      <c r="A202" s="4" t="s">
        <v>619</v>
      </c>
      <c r="B202" s="4" t="s">
        <v>620</v>
      </c>
      <c r="C202" s="4" t="str">
        <f>IFERROR(__xludf.DUMMYFUNCTION("GOOGLETRANSLATE(B202, ""RO"", ""EN"")"),"... presidential")</f>
        <v>... presidential</v>
      </c>
      <c r="D202" s="5" t="str">
        <f>IFERROR(__xludf.DUMMYFUNCTION("IF(O202&lt;&gt;"""", GOOGLETRANSLATE(O202, ""RO"", ""EN""), """")"),"Not at all")</f>
        <v>Not at all</v>
      </c>
      <c r="E202" s="6" t="str">
        <f>IFERROR(__xludf.DUMMYFUNCTION("IF(P202&lt;&gt;"""", GOOGLETRANSLATE(P202, ""RO"", ""EN""), """")"),"1")</f>
        <v>1</v>
      </c>
      <c r="F202" s="5" t="str">
        <f>IFERROR(__xludf.DUMMYFUNCTION("IF(Q202&lt;&gt;"""", GOOGLETRANSLATE(Q202, ""RO"", ""EN""), """")"),"2")</f>
        <v>2</v>
      </c>
      <c r="G202" s="5" t="str">
        <f>IFERROR(__xludf.DUMMYFUNCTION("IF(R202&lt;&gt;"""", GOOGLETRANSLATE(R202, ""RO"", ""EN""), """")"),"3")</f>
        <v>3</v>
      </c>
      <c r="H202" s="5" t="str">
        <f>IFERROR(__xludf.DUMMYFUNCTION("IF(U202&lt;&gt;"""", GOOGLETRANSLATE(U202, ""RO"", ""EN""), """")"),"4")</f>
        <v>4</v>
      </c>
      <c r="I202" s="5" t="str">
        <f>IFERROR(__xludf.DUMMYFUNCTION("IF(V202&lt;&gt;"""", GOOGLETRANSLATE(V202, ""RO"", ""EN""), """")"),"5")</f>
        <v>5</v>
      </c>
      <c r="J202" s="5" t="str">
        <f>IFERROR(__xludf.DUMMYFUNCTION("IF(W202&lt;&gt;"""", GOOGLETRANSLATE(W202, ""RO"", ""EN""), """")"),"6")</f>
        <v>6</v>
      </c>
      <c r="K202" s="5" t="str">
        <f>IFERROR(__xludf.DUMMYFUNCTION("IF(X202&lt;&gt;"""", GOOGLETRANSLATE(X202, ""RO"", ""EN""), """")"),"7")</f>
        <v>7</v>
      </c>
      <c r="L202" s="5" t="str">
        <f>IFERROR(__xludf.DUMMYFUNCTION("IF(S202&lt;&gt;"""", GOOGLETRANSLATE(S202, ""RO"", ""EN""), """")"),"8")</f>
        <v>8</v>
      </c>
      <c r="M202" s="5" t="str">
        <f>IFERROR(__xludf.DUMMYFUNCTION("IF(T202&lt;&gt;"""", GOOGLETRANSLATE(T202, ""RO"", ""EN""), """")"),"9")</f>
        <v>9</v>
      </c>
      <c r="N202" s="5" t="str">
        <f>IFERROR(__xludf.DUMMYFUNCTION("IF(Y202&lt;&gt;"""", GOOGLETRANSLATE(Y202, ""RO"", ""EN""), """")"),"Very much")</f>
        <v>Very much</v>
      </c>
      <c r="O202" s="4" t="s">
        <v>363</v>
      </c>
      <c r="P202" s="4" t="s">
        <v>168</v>
      </c>
      <c r="Q202" s="4" t="s">
        <v>169</v>
      </c>
      <c r="R202" s="4" t="s">
        <v>170</v>
      </c>
      <c r="S202" s="4" t="s">
        <v>171</v>
      </c>
      <c r="T202" s="4" t="s">
        <v>172</v>
      </c>
      <c r="U202" s="4" t="s">
        <v>173</v>
      </c>
      <c r="V202" s="4" t="s">
        <v>174</v>
      </c>
      <c r="W202" s="4" t="s">
        <v>175</v>
      </c>
      <c r="X202" s="4" t="s">
        <v>176</v>
      </c>
      <c r="Y202" s="4" t="s">
        <v>608</v>
      </c>
      <c r="AA202" s="4" t="s">
        <v>103</v>
      </c>
      <c r="AB202" s="4" t="s">
        <v>104</v>
      </c>
    </row>
    <row r="203" ht="15.75" customHeight="1">
      <c r="A203" s="4" t="s">
        <v>621</v>
      </c>
      <c r="B203" s="4" t="s">
        <v>622</v>
      </c>
      <c r="C203" s="4" t="str">
        <f>IFERROR(__xludf.DUMMYFUNCTION("GOOGLETRANSLATE(B203, ""RO"", ""EN"")"),"Generally think your level It depends on the result of the elections ...? Use this scale to indicate the answer - 0 means that your standard of living does not depend at all on the result of the elections, and 10 that depends a lot. ... local")</f>
        <v>Generally think your level It depends on the result of the elections ...? Use this scale to indicate the answer - 0 means that your standard of living does not depend at all on the result of the elections, and 10 that depends a lot. ... local</v>
      </c>
      <c r="D203" s="5" t="str">
        <f>IFERROR(__xludf.DUMMYFUNCTION("IF(O203&lt;&gt;"""", GOOGLETRANSLATE(O203, ""RO"", ""EN""), """")"),"Not at all")</f>
        <v>Not at all</v>
      </c>
      <c r="E203" s="6" t="str">
        <f>IFERROR(__xludf.DUMMYFUNCTION("IF(P203&lt;&gt;"""", GOOGLETRANSLATE(P203, ""RO"", ""EN""), """")"),"1")</f>
        <v>1</v>
      </c>
      <c r="F203" s="5" t="str">
        <f>IFERROR(__xludf.DUMMYFUNCTION("IF(Q203&lt;&gt;"""", GOOGLETRANSLATE(Q203, ""RO"", ""EN""), """")"),"2")</f>
        <v>2</v>
      </c>
      <c r="G203" s="5" t="str">
        <f>IFERROR(__xludf.DUMMYFUNCTION("IF(R203&lt;&gt;"""", GOOGLETRANSLATE(R203, ""RO"", ""EN""), """")"),"3")</f>
        <v>3</v>
      </c>
      <c r="H203" s="5" t="str">
        <f>IFERROR(__xludf.DUMMYFUNCTION("IF(U203&lt;&gt;"""", GOOGLETRANSLATE(U203, ""RO"", ""EN""), """")"),"4")</f>
        <v>4</v>
      </c>
      <c r="I203" s="5" t="str">
        <f>IFERROR(__xludf.DUMMYFUNCTION("IF(V203&lt;&gt;"""", GOOGLETRANSLATE(V203, ""RO"", ""EN""), """")"),"5")</f>
        <v>5</v>
      </c>
      <c r="J203" s="5" t="str">
        <f>IFERROR(__xludf.DUMMYFUNCTION("IF(W203&lt;&gt;"""", GOOGLETRANSLATE(W203, ""RO"", ""EN""), """")"),"6")</f>
        <v>6</v>
      </c>
      <c r="K203" s="5" t="str">
        <f>IFERROR(__xludf.DUMMYFUNCTION("IF(X203&lt;&gt;"""", GOOGLETRANSLATE(X203, ""RO"", ""EN""), """")"),"7")</f>
        <v>7</v>
      </c>
      <c r="L203" s="5" t="str">
        <f>IFERROR(__xludf.DUMMYFUNCTION("IF(S203&lt;&gt;"""", GOOGLETRANSLATE(S203, ""RO"", ""EN""), """")"),"8")</f>
        <v>8</v>
      </c>
      <c r="M203" s="5" t="str">
        <f>IFERROR(__xludf.DUMMYFUNCTION("IF(T203&lt;&gt;"""", GOOGLETRANSLATE(T203, ""RO"", ""EN""), """")"),"9")</f>
        <v>9</v>
      </c>
      <c r="N203" s="5" t="str">
        <f>IFERROR(__xludf.DUMMYFUNCTION("IF(Y203&lt;&gt;"""", GOOGLETRANSLATE(Y203, ""RO"", ""EN""), """")"),"Very much")</f>
        <v>Very much</v>
      </c>
      <c r="O203" s="4" t="s">
        <v>363</v>
      </c>
      <c r="P203" s="4" t="s">
        <v>168</v>
      </c>
      <c r="Q203" s="4" t="s">
        <v>169</v>
      </c>
      <c r="R203" s="4" t="s">
        <v>170</v>
      </c>
      <c r="S203" s="4" t="s">
        <v>171</v>
      </c>
      <c r="T203" s="4" t="s">
        <v>172</v>
      </c>
      <c r="U203" s="4" t="s">
        <v>173</v>
      </c>
      <c r="V203" s="4" t="s">
        <v>174</v>
      </c>
      <c r="W203" s="4" t="s">
        <v>175</v>
      </c>
      <c r="X203" s="4" t="s">
        <v>176</v>
      </c>
      <c r="Y203" s="4" t="s">
        <v>608</v>
      </c>
      <c r="AA203" s="4" t="s">
        <v>103</v>
      </c>
      <c r="AB203" s="4" t="s">
        <v>104</v>
      </c>
    </row>
    <row r="204" ht="15.75" customHeight="1">
      <c r="A204" s="4" t="s">
        <v>623</v>
      </c>
      <c r="B204" s="4" t="s">
        <v>618</v>
      </c>
      <c r="C204" s="4" t="str">
        <f>IFERROR(__xludf.DUMMYFUNCTION("GOOGLETRANSLATE(B204, ""RO"", ""EN"")"),"... parliamentary")</f>
        <v>... parliamentary</v>
      </c>
      <c r="D204" s="5" t="str">
        <f>IFERROR(__xludf.DUMMYFUNCTION("IF(O204&lt;&gt;"""", GOOGLETRANSLATE(O204, ""RO"", ""EN""), """")"),"Not at all")</f>
        <v>Not at all</v>
      </c>
      <c r="E204" s="6" t="str">
        <f>IFERROR(__xludf.DUMMYFUNCTION("IF(P204&lt;&gt;"""", GOOGLETRANSLATE(P204, ""RO"", ""EN""), """")"),"1")</f>
        <v>1</v>
      </c>
      <c r="F204" s="5" t="str">
        <f>IFERROR(__xludf.DUMMYFUNCTION("IF(Q204&lt;&gt;"""", GOOGLETRANSLATE(Q204, ""RO"", ""EN""), """")"),"2")</f>
        <v>2</v>
      </c>
      <c r="G204" s="5" t="str">
        <f>IFERROR(__xludf.DUMMYFUNCTION("IF(R204&lt;&gt;"""", GOOGLETRANSLATE(R204, ""RO"", ""EN""), """")"),"3")</f>
        <v>3</v>
      </c>
      <c r="H204" s="5" t="str">
        <f>IFERROR(__xludf.DUMMYFUNCTION("IF(U204&lt;&gt;"""", GOOGLETRANSLATE(U204, ""RO"", ""EN""), """")"),"4")</f>
        <v>4</v>
      </c>
      <c r="I204" s="5" t="str">
        <f>IFERROR(__xludf.DUMMYFUNCTION("IF(V204&lt;&gt;"""", GOOGLETRANSLATE(V204, ""RO"", ""EN""), """")"),"5")</f>
        <v>5</v>
      </c>
      <c r="J204" s="5" t="str">
        <f>IFERROR(__xludf.DUMMYFUNCTION("IF(W204&lt;&gt;"""", GOOGLETRANSLATE(W204, ""RO"", ""EN""), """")"),"6")</f>
        <v>6</v>
      </c>
      <c r="K204" s="5" t="str">
        <f>IFERROR(__xludf.DUMMYFUNCTION("IF(X204&lt;&gt;"""", GOOGLETRANSLATE(X204, ""RO"", ""EN""), """")"),"7")</f>
        <v>7</v>
      </c>
      <c r="L204" s="5" t="str">
        <f>IFERROR(__xludf.DUMMYFUNCTION("IF(S204&lt;&gt;"""", GOOGLETRANSLATE(S204, ""RO"", ""EN""), """")"),"8")</f>
        <v>8</v>
      </c>
      <c r="M204" s="5" t="str">
        <f>IFERROR(__xludf.DUMMYFUNCTION("IF(T204&lt;&gt;"""", GOOGLETRANSLATE(T204, ""RO"", ""EN""), """")"),"9")</f>
        <v>9</v>
      </c>
      <c r="N204" s="5" t="str">
        <f>IFERROR(__xludf.DUMMYFUNCTION("IF(Y204&lt;&gt;"""", GOOGLETRANSLATE(Y204, ""RO"", ""EN""), """")"),"Very much")</f>
        <v>Very much</v>
      </c>
      <c r="O204" s="4" t="s">
        <v>363</v>
      </c>
      <c r="P204" s="4" t="s">
        <v>168</v>
      </c>
      <c r="Q204" s="4" t="s">
        <v>169</v>
      </c>
      <c r="R204" s="4" t="s">
        <v>170</v>
      </c>
      <c r="S204" s="4" t="s">
        <v>171</v>
      </c>
      <c r="T204" s="4" t="s">
        <v>172</v>
      </c>
      <c r="U204" s="4" t="s">
        <v>173</v>
      </c>
      <c r="V204" s="4" t="s">
        <v>174</v>
      </c>
      <c r="W204" s="4" t="s">
        <v>175</v>
      </c>
      <c r="X204" s="4" t="s">
        <v>176</v>
      </c>
      <c r="Y204" s="4" t="s">
        <v>608</v>
      </c>
      <c r="AA204" s="4" t="s">
        <v>103</v>
      </c>
      <c r="AB204" s="4" t="s">
        <v>104</v>
      </c>
    </row>
    <row r="205" ht="15.75" customHeight="1">
      <c r="A205" s="4" t="s">
        <v>624</v>
      </c>
      <c r="B205" s="4" t="s">
        <v>620</v>
      </c>
      <c r="C205" s="4" t="str">
        <f>IFERROR(__xludf.DUMMYFUNCTION("GOOGLETRANSLATE(B205, ""RO"", ""EN"")"),"... presidential")</f>
        <v>... presidential</v>
      </c>
      <c r="D205" s="5" t="str">
        <f>IFERROR(__xludf.DUMMYFUNCTION("IF(O205&lt;&gt;"""", GOOGLETRANSLATE(O205, ""RO"", ""EN""), """")"),"Not at all")</f>
        <v>Not at all</v>
      </c>
      <c r="E205" s="6" t="str">
        <f>IFERROR(__xludf.DUMMYFUNCTION("IF(P205&lt;&gt;"""", GOOGLETRANSLATE(P205, ""RO"", ""EN""), """")"),"1")</f>
        <v>1</v>
      </c>
      <c r="F205" s="5" t="str">
        <f>IFERROR(__xludf.DUMMYFUNCTION("IF(Q205&lt;&gt;"""", GOOGLETRANSLATE(Q205, ""RO"", ""EN""), """")"),"2")</f>
        <v>2</v>
      </c>
      <c r="G205" s="5" t="str">
        <f>IFERROR(__xludf.DUMMYFUNCTION("IF(R205&lt;&gt;"""", GOOGLETRANSLATE(R205, ""RO"", ""EN""), """")"),"3")</f>
        <v>3</v>
      </c>
      <c r="H205" s="5" t="str">
        <f>IFERROR(__xludf.DUMMYFUNCTION("IF(U205&lt;&gt;"""", GOOGLETRANSLATE(U205, ""RO"", ""EN""), """")"),"4")</f>
        <v>4</v>
      </c>
      <c r="I205" s="5" t="str">
        <f>IFERROR(__xludf.DUMMYFUNCTION("IF(V205&lt;&gt;"""", GOOGLETRANSLATE(V205, ""RO"", ""EN""), """")"),"5")</f>
        <v>5</v>
      </c>
      <c r="J205" s="5" t="str">
        <f>IFERROR(__xludf.DUMMYFUNCTION("IF(W205&lt;&gt;"""", GOOGLETRANSLATE(W205, ""RO"", ""EN""), """")"),"6")</f>
        <v>6</v>
      </c>
      <c r="K205" s="5" t="str">
        <f>IFERROR(__xludf.DUMMYFUNCTION("IF(X205&lt;&gt;"""", GOOGLETRANSLATE(X205, ""RO"", ""EN""), """")"),"7")</f>
        <v>7</v>
      </c>
      <c r="L205" s="5" t="str">
        <f>IFERROR(__xludf.DUMMYFUNCTION("IF(S205&lt;&gt;"""", GOOGLETRANSLATE(S205, ""RO"", ""EN""), """")"),"8")</f>
        <v>8</v>
      </c>
      <c r="M205" s="5" t="str">
        <f>IFERROR(__xludf.DUMMYFUNCTION("IF(T205&lt;&gt;"""", GOOGLETRANSLATE(T205, ""RO"", ""EN""), """")"),"9")</f>
        <v>9</v>
      </c>
      <c r="N205" s="5" t="str">
        <f>IFERROR(__xludf.DUMMYFUNCTION("IF(Y205&lt;&gt;"""", GOOGLETRANSLATE(Y205, ""RO"", ""EN""), """")"),"Very much")</f>
        <v>Very much</v>
      </c>
      <c r="O205" s="4" t="s">
        <v>363</v>
      </c>
      <c r="P205" s="4" t="s">
        <v>168</v>
      </c>
      <c r="Q205" s="4" t="s">
        <v>169</v>
      </c>
      <c r="R205" s="4" t="s">
        <v>170</v>
      </c>
      <c r="S205" s="4" t="s">
        <v>171</v>
      </c>
      <c r="T205" s="4" t="s">
        <v>172</v>
      </c>
      <c r="U205" s="4" t="s">
        <v>173</v>
      </c>
      <c r="V205" s="4" t="s">
        <v>174</v>
      </c>
      <c r="W205" s="4" t="s">
        <v>175</v>
      </c>
      <c r="X205" s="4" t="s">
        <v>176</v>
      </c>
      <c r="Y205" s="4" t="s">
        <v>608</v>
      </c>
      <c r="AA205" s="4" t="s">
        <v>103</v>
      </c>
      <c r="AB205" s="4" t="s">
        <v>104</v>
      </c>
    </row>
    <row r="206" ht="15.75" customHeight="1">
      <c r="A206" s="4" t="s">
        <v>625</v>
      </c>
      <c r="B206" s="4" t="s">
        <v>626</v>
      </c>
      <c r="C206" s="4" t="str">
        <f>IFERROR(__xludf.DUMMYFUNCTION("GOOGLETRANSLATE(B206, ""RO"", ""EN"")"),"To what extent do you think people like you can influence the important decisions that are taken by [...]? Specify your answer using the next scale where 0 means at all and 10 a lot. ... City Hall and Council in your locality.")</f>
        <v>To what extent do you think people like you can influence the important decisions that are taken by [...]? Specify your answer using the next scale where 0 means at all and 10 a lot. ... City Hall and Council in your locality.</v>
      </c>
      <c r="D206" s="5" t="str">
        <f>IFERROR(__xludf.DUMMYFUNCTION("IF(O206&lt;&gt;"""", GOOGLETRANSLATE(O206, ""RO"", ""EN""), """")"),"Not at all")</f>
        <v>Not at all</v>
      </c>
      <c r="E206" s="6" t="str">
        <f>IFERROR(__xludf.DUMMYFUNCTION("IF(P206&lt;&gt;"""", GOOGLETRANSLATE(P206, ""RO"", ""EN""), """")"),"1")</f>
        <v>1</v>
      </c>
      <c r="F206" s="5" t="str">
        <f>IFERROR(__xludf.DUMMYFUNCTION("IF(Q206&lt;&gt;"""", GOOGLETRANSLATE(Q206, ""RO"", ""EN""), """")"),"2")</f>
        <v>2</v>
      </c>
      <c r="G206" s="5" t="str">
        <f>IFERROR(__xludf.DUMMYFUNCTION("IF(R206&lt;&gt;"""", GOOGLETRANSLATE(R206, ""RO"", ""EN""), """")"),"3")</f>
        <v>3</v>
      </c>
      <c r="H206" s="5" t="str">
        <f>IFERROR(__xludf.DUMMYFUNCTION("IF(U206&lt;&gt;"""", GOOGLETRANSLATE(U206, ""RO"", ""EN""), """")"),"4")</f>
        <v>4</v>
      </c>
      <c r="I206" s="5" t="str">
        <f>IFERROR(__xludf.DUMMYFUNCTION("IF(V206&lt;&gt;"""", GOOGLETRANSLATE(V206, ""RO"", ""EN""), """")"),"5")</f>
        <v>5</v>
      </c>
      <c r="J206" s="5" t="str">
        <f>IFERROR(__xludf.DUMMYFUNCTION("IF(W206&lt;&gt;"""", GOOGLETRANSLATE(W206, ""RO"", ""EN""), """")"),"6")</f>
        <v>6</v>
      </c>
      <c r="K206" s="5" t="str">
        <f>IFERROR(__xludf.DUMMYFUNCTION("IF(X206&lt;&gt;"""", GOOGLETRANSLATE(X206, ""RO"", ""EN""), """")"),"7")</f>
        <v>7</v>
      </c>
      <c r="L206" s="5" t="str">
        <f>IFERROR(__xludf.DUMMYFUNCTION("IF(S206&lt;&gt;"""", GOOGLETRANSLATE(S206, ""RO"", ""EN""), """")"),"8")</f>
        <v>8</v>
      </c>
      <c r="M206" s="5" t="str">
        <f>IFERROR(__xludf.DUMMYFUNCTION("IF(T206&lt;&gt;"""", GOOGLETRANSLATE(T206, ""RO"", ""EN""), """")"),"9")</f>
        <v>9</v>
      </c>
      <c r="N206" s="5" t="str">
        <f>IFERROR(__xludf.DUMMYFUNCTION("IF(Y206&lt;&gt;"""", GOOGLETRANSLATE(Y206, ""RO"", ""EN""), """")"),"Very much")</f>
        <v>Very much</v>
      </c>
      <c r="O206" s="4" t="s">
        <v>363</v>
      </c>
      <c r="P206" s="4" t="s">
        <v>168</v>
      </c>
      <c r="Q206" s="4" t="s">
        <v>169</v>
      </c>
      <c r="R206" s="4" t="s">
        <v>170</v>
      </c>
      <c r="S206" s="4" t="s">
        <v>171</v>
      </c>
      <c r="T206" s="4" t="s">
        <v>172</v>
      </c>
      <c r="U206" s="4" t="s">
        <v>173</v>
      </c>
      <c r="V206" s="4" t="s">
        <v>174</v>
      </c>
      <c r="W206" s="4" t="s">
        <v>175</v>
      </c>
      <c r="X206" s="4" t="s">
        <v>176</v>
      </c>
      <c r="Y206" s="4" t="s">
        <v>608</v>
      </c>
      <c r="AA206" s="4" t="s">
        <v>103</v>
      </c>
      <c r="AB206" s="4" t="s">
        <v>104</v>
      </c>
    </row>
    <row r="207" ht="15.75" customHeight="1">
      <c r="A207" s="4" t="s">
        <v>627</v>
      </c>
      <c r="B207" s="4" t="s">
        <v>610</v>
      </c>
      <c r="C207" s="4" t="str">
        <f>IFERROR(__xludf.DUMMYFUNCTION("GOOGLETRANSLATE(B207, ""RO"", ""EN"")"),"... The Government of Romania")</f>
        <v>... The Government of Romania</v>
      </c>
      <c r="D207" s="5" t="str">
        <f>IFERROR(__xludf.DUMMYFUNCTION("IF(O207&lt;&gt;"""", GOOGLETRANSLATE(O207, ""RO"", ""EN""), """")"),"Not at all")</f>
        <v>Not at all</v>
      </c>
      <c r="E207" s="6" t="str">
        <f>IFERROR(__xludf.DUMMYFUNCTION("IF(P207&lt;&gt;"""", GOOGLETRANSLATE(P207, ""RO"", ""EN""), """")"),"1")</f>
        <v>1</v>
      </c>
      <c r="F207" s="5" t="str">
        <f>IFERROR(__xludf.DUMMYFUNCTION("IF(Q207&lt;&gt;"""", GOOGLETRANSLATE(Q207, ""RO"", ""EN""), """")"),"2")</f>
        <v>2</v>
      </c>
      <c r="G207" s="5" t="str">
        <f>IFERROR(__xludf.DUMMYFUNCTION("IF(R207&lt;&gt;"""", GOOGLETRANSLATE(R207, ""RO"", ""EN""), """")"),"3")</f>
        <v>3</v>
      </c>
      <c r="H207" s="5" t="str">
        <f>IFERROR(__xludf.DUMMYFUNCTION("IF(U207&lt;&gt;"""", GOOGLETRANSLATE(U207, ""RO"", ""EN""), """")"),"4")</f>
        <v>4</v>
      </c>
      <c r="I207" s="5" t="str">
        <f>IFERROR(__xludf.DUMMYFUNCTION("IF(V207&lt;&gt;"""", GOOGLETRANSLATE(V207, ""RO"", ""EN""), """")"),"5")</f>
        <v>5</v>
      </c>
      <c r="J207" s="5" t="str">
        <f>IFERROR(__xludf.DUMMYFUNCTION("IF(W207&lt;&gt;"""", GOOGLETRANSLATE(W207, ""RO"", ""EN""), """")"),"6")</f>
        <v>6</v>
      </c>
      <c r="K207" s="5" t="str">
        <f>IFERROR(__xludf.DUMMYFUNCTION("IF(X207&lt;&gt;"""", GOOGLETRANSLATE(X207, ""RO"", ""EN""), """")"),"7")</f>
        <v>7</v>
      </c>
      <c r="L207" s="5" t="str">
        <f>IFERROR(__xludf.DUMMYFUNCTION("IF(S207&lt;&gt;"""", GOOGLETRANSLATE(S207, ""RO"", ""EN""), """")"),"8")</f>
        <v>8</v>
      </c>
      <c r="M207" s="5" t="str">
        <f>IFERROR(__xludf.DUMMYFUNCTION("IF(T207&lt;&gt;"""", GOOGLETRANSLATE(T207, ""RO"", ""EN""), """")"),"9")</f>
        <v>9</v>
      </c>
      <c r="N207" s="5" t="str">
        <f>IFERROR(__xludf.DUMMYFUNCTION("IF(Y207&lt;&gt;"""", GOOGLETRANSLATE(Y207, ""RO"", ""EN""), """")"),"Very much")</f>
        <v>Very much</v>
      </c>
      <c r="O207" s="4" t="s">
        <v>363</v>
      </c>
      <c r="P207" s="4" t="s">
        <v>168</v>
      </c>
      <c r="Q207" s="4" t="s">
        <v>169</v>
      </c>
      <c r="R207" s="4" t="s">
        <v>170</v>
      </c>
      <c r="S207" s="4" t="s">
        <v>171</v>
      </c>
      <c r="T207" s="4" t="s">
        <v>172</v>
      </c>
      <c r="U207" s="4" t="s">
        <v>173</v>
      </c>
      <c r="V207" s="4" t="s">
        <v>174</v>
      </c>
      <c r="W207" s="4" t="s">
        <v>175</v>
      </c>
      <c r="X207" s="4" t="s">
        <v>176</v>
      </c>
      <c r="Y207" s="4" t="s">
        <v>608</v>
      </c>
      <c r="AA207" s="4" t="s">
        <v>103</v>
      </c>
      <c r="AB207" s="4" t="s">
        <v>104</v>
      </c>
    </row>
    <row r="208" ht="15.75" customHeight="1">
      <c r="A208" s="4" t="s">
        <v>628</v>
      </c>
      <c r="B208" s="4" t="s">
        <v>612</v>
      </c>
      <c r="C208" s="4" t="str">
        <f>IFERROR(__xludf.DUMMYFUNCTION("GOOGLETRANSLATE(B208, ""RO"", ""EN"")"),"... the Romanian parliament")</f>
        <v>... the Romanian parliament</v>
      </c>
      <c r="D208" s="5" t="str">
        <f>IFERROR(__xludf.DUMMYFUNCTION("IF(O208&lt;&gt;"""", GOOGLETRANSLATE(O208, ""RO"", ""EN""), """")"),"Not at all")</f>
        <v>Not at all</v>
      </c>
      <c r="E208" s="6" t="str">
        <f>IFERROR(__xludf.DUMMYFUNCTION("IF(P208&lt;&gt;"""", GOOGLETRANSLATE(P208, ""RO"", ""EN""), """")"),"1")</f>
        <v>1</v>
      </c>
      <c r="F208" s="5" t="str">
        <f>IFERROR(__xludf.DUMMYFUNCTION("IF(Q208&lt;&gt;"""", GOOGLETRANSLATE(Q208, ""RO"", ""EN""), """")"),"2")</f>
        <v>2</v>
      </c>
      <c r="G208" s="5" t="str">
        <f>IFERROR(__xludf.DUMMYFUNCTION("IF(R208&lt;&gt;"""", GOOGLETRANSLATE(R208, ""RO"", ""EN""), """")"),"3")</f>
        <v>3</v>
      </c>
      <c r="H208" s="5" t="str">
        <f>IFERROR(__xludf.DUMMYFUNCTION("IF(U208&lt;&gt;"""", GOOGLETRANSLATE(U208, ""RO"", ""EN""), """")"),"4")</f>
        <v>4</v>
      </c>
      <c r="I208" s="5" t="str">
        <f>IFERROR(__xludf.DUMMYFUNCTION("IF(V208&lt;&gt;"""", GOOGLETRANSLATE(V208, ""RO"", ""EN""), """")"),"5")</f>
        <v>5</v>
      </c>
      <c r="J208" s="5" t="str">
        <f>IFERROR(__xludf.DUMMYFUNCTION("IF(W208&lt;&gt;"""", GOOGLETRANSLATE(W208, ""RO"", ""EN""), """")"),"6")</f>
        <v>6</v>
      </c>
      <c r="K208" s="5" t="str">
        <f>IFERROR(__xludf.DUMMYFUNCTION("IF(X208&lt;&gt;"""", GOOGLETRANSLATE(X208, ""RO"", ""EN""), """")"),"7")</f>
        <v>7</v>
      </c>
      <c r="L208" s="5" t="str">
        <f>IFERROR(__xludf.DUMMYFUNCTION("IF(S208&lt;&gt;"""", GOOGLETRANSLATE(S208, ""RO"", ""EN""), """")"),"8")</f>
        <v>8</v>
      </c>
      <c r="M208" s="5" t="str">
        <f>IFERROR(__xludf.DUMMYFUNCTION("IF(T208&lt;&gt;"""", GOOGLETRANSLATE(T208, ""RO"", ""EN""), """")"),"9")</f>
        <v>9</v>
      </c>
      <c r="N208" s="5" t="str">
        <f>IFERROR(__xludf.DUMMYFUNCTION("IF(Y208&lt;&gt;"""", GOOGLETRANSLATE(Y208, ""RO"", ""EN""), """")"),"Very much")</f>
        <v>Very much</v>
      </c>
      <c r="O208" s="4" t="s">
        <v>363</v>
      </c>
      <c r="P208" s="4" t="s">
        <v>168</v>
      </c>
      <c r="Q208" s="4" t="s">
        <v>169</v>
      </c>
      <c r="R208" s="4" t="s">
        <v>170</v>
      </c>
      <c r="S208" s="4" t="s">
        <v>171</v>
      </c>
      <c r="T208" s="4" t="s">
        <v>172</v>
      </c>
      <c r="U208" s="4" t="s">
        <v>173</v>
      </c>
      <c r="V208" s="4" t="s">
        <v>174</v>
      </c>
      <c r="W208" s="4" t="s">
        <v>175</v>
      </c>
      <c r="X208" s="4" t="s">
        <v>176</v>
      </c>
      <c r="Y208" s="4" t="s">
        <v>608</v>
      </c>
      <c r="AA208" s="4" t="s">
        <v>103</v>
      </c>
      <c r="AB208" s="4" t="s">
        <v>104</v>
      </c>
    </row>
    <row r="209" ht="15.75" customHeight="1">
      <c r="A209" s="4" t="s">
        <v>629</v>
      </c>
      <c r="B209" s="4" t="s">
        <v>614</v>
      </c>
      <c r="C209" s="4" t="str">
        <f>IFERROR(__xludf.DUMMYFUNCTION("GOOGLETRANSLATE(B209, ""RO"", ""EN"")"),"... President of Romania")</f>
        <v>... President of Romania</v>
      </c>
      <c r="D209" s="5" t="str">
        <f>IFERROR(__xludf.DUMMYFUNCTION("IF(O209&lt;&gt;"""", GOOGLETRANSLATE(O209, ""RO"", ""EN""), """")"),"Not at all")</f>
        <v>Not at all</v>
      </c>
      <c r="E209" s="6" t="str">
        <f>IFERROR(__xludf.DUMMYFUNCTION("IF(P209&lt;&gt;"""", GOOGLETRANSLATE(P209, ""RO"", ""EN""), """")"),"1")</f>
        <v>1</v>
      </c>
      <c r="F209" s="5" t="str">
        <f>IFERROR(__xludf.DUMMYFUNCTION("IF(Q209&lt;&gt;"""", GOOGLETRANSLATE(Q209, ""RO"", ""EN""), """")"),"2")</f>
        <v>2</v>
      </c>
      <c r="G209" s="5" t="str">
        <f>IFERROR(__xludf.DUMMYFUNCTION("IF(R209&lt;&gt;"""", GOOGLETRANSLATE(R209, ""RO"", ""EN""), """")"),"3")</f>
        <v>3</v>
      </c>
      <c r="H209" s="5" t="str">
        <f>IFERROR(__xludf.DUMMYFUNCTION("IF(U209&lt;&gt;"""", GOOGLETRANSLATE(U209, ""RO"", ""EN""), """")"),"4")</f>
        <v>4</v>
      </c>
      <c r="I209" s="5" t="str">
        <f>IFERROR(__xludf.DUMMYFUNCTION("IF(V209&lt;&gt;"""", GOOGLETRANSLATE(V209, ""RO"", ""EN""), """")"),"5")</f>
        <v>5</v>
      </c>
      <c r="J209" s="5" t="str">
        <f>IFERROR(__xludf.DUMMYFUNCTION("IF(W209&lt;&gt;"""", GOOGLETRANSLATE(W209, ""RO"", ""EN""), """")"),"6")</f>
        <v>6</v>
      </c>
      <c r="K209" s="5" t="str">
        <f>IFERROR(__xludf.DUMMYFUNCTION("IF(X209&lt;&gt;"""", GOOGLETRANSLATE(X209, ""RO"", ""EN""), """")"),"7")</f>
        <v>7</v>
      </c>
      <c r="L209" s="5" t="str">
        <f>IFERROR(__xludf.DUMMYFUNCTION("IF(S209&lt;&gt;"""", GOOGLETRANSLATE(S209, ""RO"", ""EN""), """")"),"8")</f>
        <v>8</v>
      </c>
      <c r="M209" s="5" t="str">
        <f>IFERROR(__xludf.DUMMYFUNCTION("IF(T209&lt;&gt;"""", GOOGLETRANSLATE(T209, ""RO"", ""EN""), """")"),"9")</f>
        <v>9</v>
      </c>
      <c r="N209" s="5" t="str">
        <f>IFERROR(__xludf.DUMMYFUNCTION("IF(Y209&lt;&gt;"""", GOOGLETRANSLATE(Y209, ""RO"", ""EN""), """")"),"Very much")</f>
        <v>Very much</v>
      </c>
      <c r="O209" s="4" t="s">
        <v>363</v>
      </c>
      <c r="P209" s="4" t="s">
        <v>168</v>
      </c>
      <c r="Q209" s="4" t="s">
        <v>169</v>
      </c>
      <c r="R209" s="4" t="s">
        <v>170</v>
      </c>
      <c r="S209" s="4" t="s">
        <v>171</v>
      </c>
      <c r="T209" s="4" t="s">
        <v>172</v>
      </c>
      <c r="U209" s="4" t="s">
        <v>173</v>
      </c>
      <c r="V209" s="4" t="s">
        <v>174</v>
      </c>
      <c r="W209" s="4" t="s">
        <v>175</v>
      </c>
      <c r="X209" s="4" t="s">
        <v>176</v>
      </c>
      <c r="Y209" s="4" t="s">
        <v>608</v>
      </c>
      <c r="AA209" s="4" t="s">
        <v>103</v>
      </c>
      <c r="AB209" s="4" t="s">
        <v>104</v>
      </c>
    </row>
    <row r="210" ht="15.75" customHeight="1">
      <c r="A210" s="4" t="s">
        <v>630</v>
      </c>
      <c r="B210" s="4" t="s">
        <v>631</v>
      </c>
      <c r="C210" s="4" t="str">
        <f>IFERROR(__xludf.DUMMYFUNCTION("GOOGLETRANSLATE(B210, ""RO"", ""EN"")"),"On a scale from 0 to 10, where does 0 mean at all and 10 to a great extent, to what extent do the following statements fit you? Sometimes politics is so complicated that someone like me simply does not understand what is happening.")</f>
        <v>On a scale from 0 to 10, where does 0 mean at all and 10 to a great extent, to what extent do the following statements fit you? Sometimes politics is so complicated that someone like me simply does not understand what is happening.</v>
      </c>
      <c r="D210" s="5" t="str">
        <f>IFERROR(__xludf.DUMMYFUNCTION("IF(O210&lt;&gt;"""", GOOGLETRANSLATE(O210, ""RO"", ""EN""), """")"),"Not at all")</f>
        <v>Not at all</v>
      </c>
      <c r="E210" s="6" t="str">
        <f>IFERROR(__xludf.DUMMYFUNCTION("IF(P210&lt;&gt;"""", GOOGLETRANSLATE(P210, ""RO"", ""EN""), """")"),"1")</f>
        <v>1</v>
      </c>
      <c r="F210" s="5" t="str">
        <f>IFERROR(__xludf.DUMMYFUNCTION("IF(Q210&lt;&gt;"""", GOOGLETRANSLATE(Q210, ""RO"", ""EN""), """")"),"2")</f>
        <v>2</v>
      </c>
      <c r="G210" s="5" t="str">
        <f>IFERROR(__xludf.DUMMYFUNCTION("IF(R210&lt;&gt;"""", GOOGLETRANSLATE(R210, ""RO"", ""EN""), """")"),"3")</f>
        <v>3</v>
      </c>
      <c r="H210" s="5" t="str">
        <f>IFERROR(__xludf.DUMMYFUNCTION("IF(U210&lt;&gt;"""", GOOGLETRANSLATE(U210, ""RO"", ""EN""), """")"),"4")</f>
        <v>4</v>
      </c>
      <c r="I210" s="5" t="str">
        <f>IFERROR(__xludf.DUMMYFUNCTION("IF(V210&lt;&gt;"""", GOOGLETRANSLATE(V210, ""RO"", ""EN""), """")"),"5")</f>
        <v>5</v>
      </c>
      <c r="J210" s="5" t="str">
        <f>IFERROR(__xludf.DUMMYFUNCTION("IF(W210&lt;&gt;"""", GOOGLETRANSLATE(W210, ""RO"", ""EN""), """")"),"6")</f>
        <v>6</v>
      </c>
      <c r="K210" s="5" t="str">
        <f>IFERROR(__xludf.DUMMYFUNCTION("IF(X210&lt;&gt;"""", GOOGLETRANSLATE(X210, ""RO"", ""EN""), """")"),"7")</f>
        <v>7</v>
      </c>
      <c r="L210" s="5" t="str">
        <f>IFERROR(__xludf.DUMMYFUNCTION("IF(S210&lt;&gt;"""", GOOGLETRANSLATE(S210, ""RO"", ""EN""), """")"),"8")</f>
        <v>8</v>
      </c>
      <c r="M210" s="5" t="str">
        <f>IFERROR(__xludf.DUMMYFUNCTION("IF(T210&lt;&gt;"""", GOOGLETRANSLATE(T210, ""RO"", ""EN""), """")"),"9")</f>
        <v>9</v>
      </c>
      <c r="N210" s="5" t="str">
        <f>IFERROR(__xludf.DUMMYFUNCTION("IF(Y210&lt;&gt;"""", GOOGLETRANSLATE(Y210, ""RO"", ""EN""), """")"),"To a great extent")</f>
        <v>To a great extent</v>
      </c>
      <c r="O210" s="4" t="s">
        <v>363</v>
      </c>
      <c r="P210" s="4" t="s">
        <v>168</v>
      </c>
      <c r="Q210" s="4" t="s">
        <v>169</v>
      </c>
      <c r="R210" s="4" t="s">
        <v>170</v>
      </c>
      <c r="S210" s="4" t="s">
        <v>171</v>
      </c>
      <c r="T210" s="4" t="s">
        <v>172</v>
      </c>
      <c r="U210" s="4" t="s">
        <v>173</v>
      </c>
      <c r="V210" s="4" t="s">
        <v>174</v>
      </c>
      <c r="W210" s="4" t="s">
        <v>175</v>
      </c>
      <c r="X210" s="4" t="s">
        <v>176</v>
      </c>
      <c r="Y210" s="4" t="s">
        <v>632</v>
      </c>
      <c r="AA210" s="4" t="s">
        <v>103</v>
      </c>
      <c r="AB210" s="4" t="s">
        <v>104</v>
      </c>
    </row>
    <row r="211" ht="15.75" customHeight="1">
      <c r="A211" s="4" t="s">
        <v>633</v>
      </c>
      <c r="B211" s="4" t="s">
        <v>634</v>
      </c>
      <c r="C211" s="4" t="str">
        <f>IFERROR(__xludf.DUMMYFUNCTION("GOOGLETRANSLATE(B211, ""RO"", ""EN"")"),"I think I understand the main political problems of Romania quite well.")</f>
        <v>I think I understand the main political problems of Romania quite well.</v>
      </c>
      <c r="D211" s="5" t="str">
        <f>IFERROR(__xludf.DUMMYFUNCTION("IF(O211&lt;&gt;"""", GOOGLETRANSLATE(O211, ""RO"", ""EN""), """")"),"Not at all")</f>
        <v>Not at all</v>
      </c>
      <c r="E211" s="6" t="str">
        <f>IFERROR(__xludf.DUMMYFUNCTION("IF(P211&lt;&gt;"""", GOOGLETRANSLATE(P211, ""RO"", ""EN""), """")"),"1")</f>
        <v>1</v>
      </c>
      <c r="F211" s="5" t="str">
        <f>IFERROR(__xludf.DUMMYFUNCTION("IF(Q211&lt;&gt;"""", GOOGLETRANSLATE(Q211, ""RO"", ""EN""), """")"),"2")</f>
        <v>2</v>
      </c>
      <c r="G211" s="5" t="str">
        <f>IFERROR(__xludf.DUMMYFUNCTION("IF(R211&lt;&gt;"""", GOOGLETRANSLATE(R211, ""RO"", ""EN""), """")"),"3")</f>
        <v>3</v>
      </c>
      <c r="H211" s="5" t="str">
        <f>IFERROR(__xludf.DUMMYFUNCTION("IF(U211&lt;&gt;"""", GOOGLETRANSLATE(U211, ""RO"", ""EN""), """")"),"4")</f>
        <v>4</v>
      </c>
      <c r="I211" s="5" t="str">
        <f>IFERROR(__xludf.DUMMYFUNCTION("IF(V211&lt;&gt;"""", GOOGLETRANSLATE(V211, ""RO"", ""EN""), """")"),"5")</f>
        <v>5</v>
      </c>
      <c r="J211" s="5" t="str">
        <f>IFERROR(__xludf.DUMMYFUNCTION("IF(W211&lt;&gt;"""", GOOGLETRANSLATE(W211, ""RO"", ""EN""), """")"),"6")</f>
        <v>6</v>
      </c>
      <c r="K211" s="5" t="str">
        <f>IFERROR(__xludf.DUMMYFUNCTION("IF(X211&lt;&gt;"""", GOOGLETRANSLATE(X211, ""RO"", ""EN""), """")"),"7")</f>
        <v>7</v>
      </c>
      <c r="L211" s="5" t="str">
        <f>IFERROR(__xludf.DUMMYFUNCTION("IF(S211&lt;&gt;"""", GOOGLETRANSLATE(S211, ""RO"", ""EN""), """")"),"8")</f>
        <v>8</v>
      </c>
      <c r="M211" s="5" t="str">
        <f>IFERROR(__xludf.DUMMYFUNCTION("IF(T211&lt;&gt;"""", GOOGLETRANSLATE(T211, ""RO"", ""EN""), """")"),"9")</f>
        <v>9</v>
      </c>
      <c r="N211" s="5" t="str">
        <f>IFERROR(__xludf.DUMMYFUNCTION("IF(Y211&lt;&gt;"""", GOOGLETRANSLATE(Y211, ""RO"", ""EN""), """")"),"To a great extent")</f>
        <v>To a great extent</v>
      </c>
      <c r="O211" s="4" t="s">
        <v>363</v>
      </c>
      <c r="P211" s="4" t="s">
        <v>168</v>
      </c>
      <c r="Q211" s="4" t="s">
        <v>169</v>
      </c>
      <c r="R211" s="4" t="s">
        <v>170</v>
      </c>
      <c r="S211" s="4" t="s">
        <v>171</v>
      </c>
      <c r="T211" s="4" t="s">
        <v>172</v>
      </c>
      <c r="U211" s="4" t="s">
        <v>173</v>
      </c>
      <c r="V211" s="4" t="s">
        <v>174</v>
      </c>
      <c r="W211" s="4" t="s">
        <v>175</v>
      </c>
      <c r="X211" s="4" t="s">
        <v>176</v>
      </c>
      <c r="Y211" s="4" t="s">
        <v>632</v>
      </c>
      <c r="AA211" s="4" t="s">
        <v>103</v>
      </c>
      <c r="AB211" s="4" t="s">
        <v>104</v>
      </c>
    </row>
    <row r="212" ht="15.75" customHeight="1">
      <c r="A212" s="4" t="s">
        <v>635</v>
      </c>
      <c r="B212" s="4" t="s">
        <v>636</v>
      </c>
      <c r="C212" s="4" t="str">
        <f>IFERROR(__xludf.DUMMYFUNCTION("GOOGLETRANSLATE(B212, ""RO"", ""EN"")"),"I would face a discussion on political topics without problems.")</f>
        <v>I would face a discussion on political topics without problems.</v>
      </c>
      <c r="D212" s="5" t="str">
        <f>IFERROR(__xludf.DUMMYFUNCTION("IF(O212&lt;&gt;"""", GOOGLETRANSLATE(O212, ""RO"", ""EN""), """")"),"Not at all")</f>
        <v>Not at all</v>
      </c>
      <c r="E212" s="6" t="str">
        <f>IFERROR(__xludf.DUMMYFUNCTION("IF(P212&lt;&gt;"""", GOOGLETRANSLATE(P212, ""RO"", ""EN""), """")"),"1")</f>
        <v>1</v>
      </c>
      <c r="F212" s="5" t="str">
        <f>IFERROR(__xludf.DUMMYFUNCTION("IF(Q212&lt;&gt;"""", GOOGLETRANSLATE(Q212, ""RO"", ""EN""), """")"),"2")</f>
        <v>2</v>
      </c>
      <c r="G212" s="5" t="str">
        <f>IFERROR(__xludf.DUMMYFUNCTION("IF(R212&lt;&gt;"""", GOOGLETRANSLATE(R212, ""RO"", ""EN""), """")"),"3")</f>
        <v>3</v>
      </c>
      <c r="H212" s="5" t="str">
        <f>IFERROR(__xludf.DUMMYFUNCTION("IF(U212&lt;&gt;"""", GOOGLETRANSLATE(U212, ""RO"", ""EN""), """")"),"4")</f>
        <v>4</v>
      </c>
      <c r="I212" s="5" t="str">
        <f>IFERROR(__xludf.DUMMYFUNCTION("IF(V212&lt;&gt;"""", GOOGLETRANSLATE(V212, ""RO"", ""EN""), """")"),"5")</f>
        <v>5</v>
      </c>
      <c r="J212" s="5" t="str">
        <f>IFERROR(__xludf.DUMMYFUNCTION("IF(W212&lt;&gt;"""", GOOGLETRANSLATE(W212, ""RO"", ""EN""), """")"),"6")</f>
        <v>6</v>
      </c>
      <c r="K212" s="5" t="str">
        <f>IFERROR(__xludf.DUMMYFUNCTION("IF(X212&lt;&gt;"""", GOOGLETRANSLATE(X212, ""RO"", ""EN""), """")"),"7")</f>
        <v>7</v>
      </c>
      <c r="L212" s="5" t="str">
        <f>IFERROR(__xludf.DUMMYFUNCTION("IF(S212&lt;&gt;"""", GOOGLETRANSLATE(S212, ""RO"", ""EN""), """")"),"8")</f>
        <v>8</v>
      </c>
      <c r="M212" s="5" t="str">
        <f>IFERROR(__xludf.DUMMYFUNCTION("IF(T212&lt;&gt;"""", GOOGLETRANSLATE(T212, ""RO"", ""EN""), """")"),"9")</f>
        <v>9</v>
      </c>
      <c r="N212" s="5" t="str">
        <f>IFERROR(__xludf.DUMMYFUNCTION("IF(Y212&lt;&gt;"""", GOOGLETRANSLATE(Y212, ""RO"", ""EN""), """")"),"To a great extent")</f>
        <v>To a great extent</v>
      </c>
      <c r="O212" s="4" t="s">
        <v>363</v>
      </c>
      <c r="P212" s="4" t="s">
        <v>168</v>
      </c>
      <c r="Q212" s="4" t="s">
        <v>169</v>
      </c>
      <c r="R212" s="4" t="s">
        <v>170</v>
      </c>
      <c r="S212" s="4" t="s">
        <v>171</v>
      </c>
      <c r="T212" s="4" t="s">
        <v>172</v>
      </c>
      <c r="U212" s="4" t="s">
        <v>173</v>
      </c>
      <c r="V212" s="4" t="s">
        <v>174</v>
      </c>
      <c r="W212" s="4" t="s">
        <v>175</v>
      </c>
      <c r="X212" s="4" t="s">
        <v>176</v>
      </c>
      <c r="Y212" s="4" t="s">
        <v>632</v>
      </c>
      <c r="AA212" s="4" t="s">
        <v>103</v>
      </c>
      <c r="AB212" s="4" t="s">
        <v>104</v>
      </c>
    </row>
    <row r="213" ht="15.75" customHeight="1">
      <c r="A213" s="4" t="s">
        <v>637</v>
      </c>
      <c r="B213" s="4" t="s">
        <v>638</v>
      </c>
      <c r="C213" s="4" t="str">
        <f>IFERROR(__xludf.DUMMYFUNCTION("GOOGLETRANSLATE(B213, ""RO"", ""EN"")"),"Do you agree that the Parliament of Romania is made up of a single chamber?")</f>
        <v>Do you agree that the Parliament of Romania is made up of a single chamber?</v>
      </c>
      <c r="D213" s="5" t="str">
        <f>IFERROR(__xludf.DUMMYFUNCTION("IF(O213&lt;&gt;"""", GOOGLETRANSLATE(O213, ""RO"", ""EN""), """")"),"")</f>
        <v/>
      </c>
      <c r="E213" s="6" t="str">
        <f>IFERROR(__xludf.DUMMYFUNCTION("IF(P213&lt;&gt;"""", GOOGLETRANSLATE(P213, ""RO"", ""EN""), """")"),"Yes")</f>
        <v>Yes</v>
      </c>
      <c r="F213" s="5" t="str">
        <f>IFERROR(__xludf.DUMMYFUNCTION("IF(Q213&lt;&gt;"""", GOOGLETRANSLATE(Q213, ""RO"", ""EN""), """")"),"Not")</f>
        <v>Not</v>
      </c>
      <c r="G213" s="5" t="str">
        <f>IFERROR(__xludf.DUMMYFUNCTION("IF(R213&lt;&gt;"""", GOOGLETRANSLATE(R213, ""RO"", ""EN""), """")"),"")</f>
        <v/>
      </c>
      <c r="H213" s="5" t="str">
        <f>IFERROR(__xludf.DUMMYFUNCTION("IF(U213&lt;&gt;"""", GOOGLETRANSLATE(U213, ""RO"", ""EN""), """")"),"")</f>
        <v/>
      </c>
      <c r="I213" s="5" t="str">
        <f>IFERROR(__xludf.DUMMYFUNCTION("IF(V213&lt;&gt;"""", GOOGLETRANSLATE(V213, ""RO"", ""EN""), """")"),"")</f>
        <v/>
      </c>
      <c r="J213" s="5" t="str">
        <f>IFERROR(__xludf.DUMMYFUNCTION("IF(W213&lt;&gt;"""", GOOGLETRANSLATE(W213, ""RO"", ""EN""), """")"),"")</f>
        <v/>
      </c>
      <c r="K213" s="5" t="str">
        <f>IFERROR(__xludf.DUMMYFUNCTION("IF(X213&lt;&gt;"""", GOOGLETRANSLATE(X213, ""RO"", ""EN""), """")"),"")</f>
        <v/>
      </c>
      <c r="L213" s="5" t="str">
        <f>IFERROR(__xludf.DUMMYFUNCTION("IF(S213&lt;&gt;"""", GOOGLETRANSLATE(S213, ""RO"", ""EN""), """")"),"Ns")</f>
        <v>Ns</v>
      </c>
      <c r="M213" s="5" t="str">
        <f>IFERROR(__xludf.DUMMYFUNCTION("IF(T213&lt;&gt;"""", GOOGLETRANSLATE(T213, ""RO"", ""EN""), """")"),"No.")</f>
        <v>No.</v>
      </c>
      <c r="N213" s="5" t="str">
        <f>IFERROR(__xludf.DUMMYFUNCTION("IF(Y213&lt;&gt;"""", GOOGLETRANSLATE(Y213, ""RO"", ""EN""), """")"),"")</f>
        <v/>
      </c>
      <c r="P213" s="4" t="s">
        <v>639</v>
      </c>
      <c r="Q213" s="4" t="s">
        <v>640</v>
      </c>
      <c r="S213" s="4" t="s">
        <v>103</v>
      </c>
      <c r="T213" s="4" t="s">
        <v>104</v>
      </c>
    </row>
    <row r="214" ht="15.75" customHeight="1">
      <c r="A214" s="4" t="s">
        <v>641</v>
      </c>
      <c r="B214" s="4" t="s">
        <v>642</v>
      </c>
      <c r="C214" s="4" t="str">
        <f>IFERROR(__xludf.DUMMYFUNCTION("GOOGLETRANSLATE(B214, ""RO"", ""EN"")"),"Do you agree to reduce the number of parliamentarians?")</f>
        <v>Do you agree to reduce the number of parliamentarians?</v>
      </c>
      <c r="D214" s="5" t="str">
        <f>IFERROR(__xludf.DUMMYFUNCTION("IF(O214&lt;&gt;"""", GOOGLETRANSLATE(O214, ""RO"", ""EN""), """")"),"")</f>
        <v/>
      </c>
      <c r="E214" s="6" t="str">
        <f>IFERROR(__xludf.DUMMYFUNCTION("IF(P214&lt;&gt;"""", GOOGLETRANSLATE(P214, ""RO"", ""EN""), """")"),"Yes")</f>
        <v>Yes</v>
      </c>
      <c r="F214" s="5" t="str">
        <f>IFERROR(__xludf.DUMMYFUNCTION("IF(Q214&lt;&gt;"""", GOOGLETRANSLATE(Q214, ""RO"", ""EN""), """")"),"Not")</f>
        <v>Not</v>
      </c>
      <c r="G214" s="5" t="str">
        <f>IFERROR(__xludf.DUMMYFUNCTION("IF(R214&lt;&gt;"""", GOOGLETRANSLATE(R214, ""RO"", ""EN""), """")"),"")</f>
        <v/>
      </c>
      <c r="H214" s="5" t="str">
        <f>IFERROR(__xludf.DUMMYFUNCTION("IF(U214&lt;&gt;"""", GOOGLETRANSLATE(U214, ""RO"", ""EN""), """")"),"")</f>
        <v/>
      </c>
      <c r="I214" s="5" t="str">
        <f>IFERROR(__xludf.DUMMYFUNCTION("IF(V214&lt;&gt;"""", GOOGLETRANSLATE(V214, ""RO"", ""EN""), """")"),"")</f>
        <v/>
      </c>
      <c r="J214" s="5" t="str">
        <f>IFERROR(__xludf.DUMMYFUNCTION("IF(W214&lt;&gt;"""", GOOGLETRANSLATE(W214, ""RO"", ""EN""), """")"),"")</f>
        <v/>
      </c>
      <c r="K214" s="5" t="str">
        <f>IFERROR(__xludf.DUMMYFUNCTION("IF(X214&lt;&gt;"""", GOOGLETRANSLATE(X214, ""RO"", ""EN""), """")"),"")</f>
        <v/>
      </c>
      <c r="L214" s="5" t="str">
        <f>IFERROR(__xludf.DUMMYFUNCTION("IF(S214&lt;&gt;"""", GOOGLETRANSLATE(S214, ""RO"", ""EN""), """")"),"Ns")</f>
        <v>Ns</v>
      </c>
      <c r="M214" s="5" t="str">
        <f>IFERROR(__xludf.DUMMYFUNCTION("IF(T214&lt;&gt;"""", GOOGLETRANSLATE(T214, ""RO"", ""EN""), """")"),"No.")</f>
        <v>No.</v>
      </c>
      <c r="N214" s="5" t="str">
        <f>IFERROR(__xludf.DUMMYFUNCTION("IF(Y214&lt;&gt;"""", GOOGLETRANSLATE(Y214, ""RO"", ""EN""), """")"),"")</f>
        <v/>
      </c>
      <c r="P214" s="4" t="s">
        <v>639</v>
      </c>
      <c r="Q214" s="4" t="s">
        <v>640</v>
      </c>
      <c r="S214" s="4" t="s">
        <v>103</v>
      </c>
      <c r="T214" s="4" t="s">
        <v>104</v>
      </c>
    </row>
    <row r="215" ht="15.75" customHeight="1">
      <c r="A215" s="4" t="s">
        <v>643</v>
      </c>
      <c r="B215" s="4" t="s">
        <v>644</v>
      </c>
      <c r="C215" s="4" t="str">
        <f>IFERROR(__xludf.DUMMYFUNCTION("GOOGLETRANSLATE(B215, ""RO"", ""EN"")"),"How many parliamentarians do you think should have the Romanian Parliament?")</f>
        <v>How many parliamentarians do you think should have the Romanian Parliament?</v>
      </c>
      <c r="D215" s="5" t="str">
        <f>IFERROR(__xludf.DUMMYFUNCTION("IF(O215&lt;&gt;"""", GOOGLETRANSLATE(O215, ""RO"", ""EN""), """")"),"")</f>
        <v/>
      </c>
      <c r="E215" s="6" t="str">
        <f>IFERROR(__xludf.DUMMYFUNCTION("IF(P215&lt;&gt;"""", GOOGLETRANSLATE(P215, ""RO"", ""EN""), """")"),"")</f>
        <v/>
      </c>
      <c r="F215" s="5" t="str">
        <f>IFERROR(__xludf.DUMMYFUNCTION("IF(Q215&lt;&gt;"""", GOOGLETRANSLATE(Q215, ""RO"", ""EN""), """")"),"")</f>
        <v/>
      </c>
      <c r="G215" s="5" t="str">
        <f>IFERROR(__xludf.DUMMYFUNCTION("IF(R215&lt;&gt;"""", GOOGLETRANSLATE(R215, ""RO"", ""EN""), """")"),"")</f>
        <v/>
      </c>
      <c r="H215" s="5" t="str">
        <f>IFERROR(__xludf.DUMMYFUNCTION("IF(U215&lt;&gt;"""", GOOGLETRANSLATE(U215, ""RO"", ""EN""), """")"),"")</f>
        <v/>
      </c>
      <c r="I215" s="5" t="str">
        <f>IFERROR(__xludf.DUMMYFUNCTION("IF(V215&lt;&gt;"""", GOOGLETRANSLATE(V215, ""RO"", ""EN""), """")"),"")</f>
        <v/>
      </c>
      <c r="J215" s="5" t="str">
        <f>IFERROR(__xludf.DUMMYFUNCTION("IF(W215&lt;&gt;"""", GOOGLETRANSLATE(W215, ""RO"", ""EN""), """")"),"")</f>
        <v/>
      </c>
      <c r="K215" s="5" t="str">
        <f>IFERROR(__xludf.DUMMYFUNCTION("IF(X215&lt;&gt;"""", GOOGLETRANSLATE(X215, ""RO"", ""EN""), """")"),"")</f>
        <v/>
      </c>
      <c r="L215" s="5" t="str">
        <f>IFERROR(__xludf.DUMMYFUNCTION("IF(S215&lt;&gt;"""", GOOGLETRANSLATE(S215, ""RO"", ""EN""), """")"),"")</f>
        <v/>
      </c>
      <c r="M215" s="5" t="str">
        <f>IFERROR(__xludf.DUMMYFUNCTION("IF(T215&lt;&gt;"""", GOOGLETRANSLATE(T215, ""RO"", ""EN""), """")"),"")</f>
        <v/>
      </c>
      <c r="N215" s="5" t="str">
        <f>IFERROR(__xludf.DUMMYFUNCTION("IF(Y215&lt;&gt;"""", GOOGLETRANSLATE(Y215, ""RO"", ""EN""), """")"),"")</f>
        <v/>
      </c>
      <c r="AF215" s="4" t="s">
        <v>103</v>
      </c>
      <c r="AG215" s="4" t="s">
        <v>104</v>
      </c>
    </row>
    <row r="216" ht="15.75" customHeight="1">
      <c r="A216" s="4" t="s">
        <v>645</v>
      </c>
      <c r="B216" s="4" t="s">
        <v>646</v>
      </c>
      <c r="C216" s="4" t="str">
        <f>IFERROR(__xludf.DUMMYFUNCTION("GOOGLETRANSLATE(B216, ""RO"", ""EN"")"),"If you made your law, and you should choose between the next two options, how do you think it would be better?")</f>
        <v>If you made your law, and you should choose between the next two options, how do you think it would be better?</v>
      </c>
      <c r="D216" s="5" t="str">
        <f>IFERROR(__xludf.DUMMYFUNCTION("IF(O216&lt;&gt;"""", GOOGLETRANSLATE(O216, ""RO"", ""EN""), """")"),"")</f>
        <v/>
      </c>
      <c r="E216" s="6" t="str">
        <f>IFERROR(__xludf.DUMMYFUNCTION("IF(P216&lt;&gt;"""", GOOGLETRANSLATE(P216, ""RO"", ""EN""), """")"),"President to name what prime minister he wants")</f>
        <v>President to name what prime minister he wants</v>
      </c>
      <c r="F216" s="5" t="str">
        <f>IFERROR(__xludf.DUMMYFUNCTION("IF(Q216&lt;&gt;"""", GOOGLETRANSLATE(Q216, ""RO"", ""EN""), """")"),"President to appoint the prime minister supported by more")</f>
        <v>President to appoint the prime minister supported by more</v>
      </c>
      <c r="G216" s="5" t="str">
        <f>IFERROR(__xludf.DUMMYFUNCTION("IF(R216&lt;&gt;"""", GOOGLETRANSLATE(R216, ""RO"", ""EN""), """")"),"")</f>
        <v/>
      </c>
      <c r="H216" s="5" t="str">
        <f>IFERROR(__xludf.DUMMYFUNCTION("IF(U216&lt;&gt;"""", GOOGLETRANSLATE(U216, ""RO"", ""EN""), """")"),"")</f>
        <v/>
      </c>
      <c r="I216" s="5" t="str">
        <f>IFERROR(__xludf.DUMMYFUNCTION("IF(V216&lt;&gt;"""", GOOGLETRANSLATE(V216, ""RO"", ""EN""), """")"),"")</f>
        <v/>
      </c>
      <c r="J216" s="5" t="str">
        <f>IFERROR(__xludf.DUMMYFUNCTION("IF(W216&lt;&gt;"""", GOOGLETRANSLATE(W216, ""RO"", ""EN""), """")"),"")</f>
        <v/>
      </c>
      <c r="K216" s="5" t="str">
        <f>IFERROR(__xludf.DUMMYFUNCTION("IF(X216&lt;&gt;"""", GOOGLETRANSLATE(X216, ""RO"", ""EN""), """")"),"")</f>
        <v/>
      </c>
      <c r="L216" s="5" t="str">
        <f>IFERROR(__xludf.DUMMYFUNCTION("IF(S216&lt;&gt;"""", GOOGLETRANSLATE(S216, ""RO"", ""EN""), """")"),"Ns")</f>
        <v>Ns</v>
      </c>
      <c r="M216" s="5" t="str">
        <f>IFERROR(__xludf.DUMMYFUNCTION("IF(T216&lt;&gt;"""", GOOGLETRANSLATE(T216, ""RO"", ""EN""), """")"),"No.")</f>
        <v>No.</v>
      </c>
      <c r="N216" s="5" t="str">
        <f>IFERROR(__xludf.DUMMYFUNCTION("IF(Y216&lt;&gt;"""", GOOGLETRANSLATE(Y216, ""RO"", ""EN""), """")"),"")</f>
        <v/>
      </c>
      <c r="P216" s="4" t="s">
        <v>647</v>
      </c>
      <c r="Q216" s="4" t="s">
        <v>648</v>
      </c>
      <c r="S216" s="4" t="s">
        <v>103</v>
      </c>
      <c r="T216" s="4" t="s">
        <v>104</v>
      </c>
    </row>
    <row r="217" ht="15.75" customHeight="1">
      <c r="A217" s="4" t="s">
        <v>649</v>
      </c>
      <c r="B217" s="4" t="s">
        <v>650</v>
      </c>
      <c r="C217" s="4" t="str">
        <f>IFERROR(__xludf.DUMMYFUNCTION("GOOGLETRANSLATE(B217, ""RO"", ""EN"")"),"How do you think the President of Romania should be elected?")</f>
        <v>How do you think the President of Romania should be elected?</v>
      </c>
      <c r="D217" s="5" t="str">
        <f>IFERROR(__xludf.DUMMYFUNCTION("IF(O217&lt;&gt;"""", GOOGLETRANSLATE(O217, ""RO"", ""EN""), """")"),"")</f>
        <v/>
      </c>
      <c r="E217" s="6" t="str">
        <f>IFERROR(__xludf.DUMMYFUNCTION("IF(P217&lt;&gt;"""", GOOGLETRANSLATE(P217, ""RO"", ""EN""), """")"),"by direct vote by citizens")</f>
        <v>by direct vote by citizens</v>
      </c>
      <c r="F217" s="5" t="str">
        <f>IFERROR(__xludf.DUMMYFUNCTION("IF(Q217&lt;&gt;"""", GOOGLETRANSLATE(Q217, ""RO"", ""EN""), """")"),"by the Parliament")</f>
        <v>by the Parliament</v>
      </c>
      <c r="G217" s="5" t="str">
        <f>IFERROR(__xludf.DUMMYFUNCTION("IF(R217&lt;&gt;"""", GOOGLETRANSLATE(R217, ""RO"", ""EN""), """")"),"")</f>
        <v/>
      </c>
      <c r="H217" s="5" t="str">
        <f>IFERROR(__xludf.DUMMYFUNCTION("IF(U217&lt;&gt;"""", GOOGLETRANSLATE(U217, ""RO"", ""EN""), """")"),"")</f>
        <v/>
      </c>
      <c r="I217" s="5" t="str">
        <f>IFERROR(__xludf.DUMMYFUNCTION("IF(V217&lt;&gt;"""", GOOGLETRANSLATE(V217, ""RO"", ""EN""), """")"),"")</f>
        <v/>
      </c>
      <c r="J217" s="5" t="str">
        <f>IFERROR(__xludf.DUMMYFUNCTION("IF(W217&lt;&gt;"""", GOOGLETRANSLATE(W217, ""RO"", ""EN""), """")"),"")</f>
        <v/>
      </c>
      <c r="K217" s="5" t="str">
        <f>IFERROR(__xludf.DUMMYFUNCTION("IF(X217&lt;&gt;"""", GOOGLETRANSLATE(X217, ""RO"", ""EN""), """")"),"")</f>
        <v/>
      </c>
      <c r="L217" s="5" t="str">
        <f>IFERROR(__xludf.DUMMYFUNCTION("IF(S217&lt;&gt;"""", GOOGLETRANSLATE(S217, ""RO"", ""EN""), """")"),"Ns")</f>
        <v>Ns</v>
      </c>
      <c r="M217" s="5" t="str">
        <f>IFERROR(__xludf.DUMMYFUNCTION("IF(T217&lt;&gt;"""", GOOGLETRANSLATE(T217, ""RO"", ""EN""), """")"),"No.")</f>
        <v>No.</v>
      </c>
      <c r="N217" s="5" t="str">
        <f>IFERROR(__xludf.DUMMYFUNCTION("IF(Y217&lt;&gt;"""", GOOGLETRANSLATE(Y217, ""RO"", ""EN""), """")"),"")</f>
        <v/>
      </c>
      <c r="P217" s="4" t="s">
        <v>651</v>
      </c>
      <c r="Q217" s="4" t="s">
        <v>652</v>
      </c>
      <c r="S217" s="4" t="s">
        <v>103</v>
      </c>
      <c r="T217" s="4" t="s">
        <v>104</v>
      </c>
    </row>
    <row r="218" ht="15.75" customHeight="1">
      <c r="A218" s="4" t="s">
        <v>653</v>
      </c>
      <c r="B218" s="4" t="s">
        <v>654</v>
      </c>
      <c r="C218" s="4" t="str">
        <f>IFERROR(__xludf.DUMMYFUNCTION("GOOGLETRANSLATE(B218, ""RO"", ""EN"")"),"How do you think the Romanian parliamentarians should be chosen?")</f>
        <v>How do you think the Romanian parliamentarians should be chosen?</v>
      </c>
      <c r="D218" s="5" t="str">
        <f>IFERROR(__xludf.DUMMYFUNCTION("IF(O218&lt;&gt;"""", GOOGLETRANSLATE(O218, ""RO"", ""EN""), """")"),"")</f>
        <v/>
      </c>
      <c r="E218" s="6" t="str">
        <f>IFERROR(__xludf.DUMMYFUNCTION("IF(P218&lt;&gt;"""", GOOGLETRANSLATE(P218, ""RO"", ""EN""), """")"),"Only by uninominal vote (ie to vote for a candidate)")</f>
        <v>Only by uninominal vote (ie to vote for a candidate)</v>
      </c>
      <c r="F218" s="5" t="str">
        <f>IFERROR(__xludf.DUMMYFUNCTION("IF(Q218&lt;&gt;"""", GOOGLETRANSLATE(Q218, ""RO"", ""EN""), """")"),"Only by vote on party lists (ie to vote for a list of")</f>
        <v>Only by vote on party lists (ie to vote for a list of</v>
      </c>
      <c r="G218" s="5" t="str">
        <f>IFERROR(__xludf.DUMMYFUNCTION("IF(R218&lt;&gt;"""", GOOGLETRANSLATE(R218, ""RO"", ""EN""), """")"),"A part by uninominal vote and part on party lists")</f>
        <v>A part by uninominal vote and part on party lists</v>
      </c>
      <c r="H218" s="5" t="str">
        <f>IFERROR(__xludf.DUMMYFUNCTION("IF(U218&lt;&gt;"""", GOOGLETRANSLATE(U218, ""RO"", ""EN""), """")"),"")</f>
        <v/>
      </c>
      <c r="I218" s="5" t="str">
        <f>IFERROR(__xludf.DUMMYFUNCTION("IF(V218&lt;&gt;"""", GOOGLETRANSLATE(V218, ""RO"", ""EN""), """")"),"")</f>
        <v/>
      </c>
      <c r="J218" s="5" t="str">
        <f>IFERROR(__xludf.DUMMYFUNCTION("IF(W218&lt;&gt;"""", GOOGLETRANSLATE(W218, ""RO"", ""EN""), """")"),"")</f>
        <v/>
      </c>
      <c r="K218" s="5" t="str">
        <f>IFERROR(__xludf.DUMMYFUNCTION("IF(X218&lt;&gt;"""", GOOGLETRANSLATE(X218, ""RO"", ""EN""), """")"),"")</f>
        <v/>
      </c>
      <c r="L218" s="5" t="str">
        <f>IFERROR(__xludf.DUMMYFUNCTION("IF(S218&lt;&gt;"""", GOOGLETRANSLATE(S218, ""RO"", ""EN""), """")"),"Ns")</f>
        <v>Ns</v>
      </c>
      <c r="M218" s="5" t="str">
        <f>IFERROR(__xludf.DUMMYFUNCTION("IF(T218&lt;&gt;"""", GOOGLETRANSLATE(T218, ""RO"", ""EN""), """")"),"No.")</f>
        <v>No.</v>
      </c>
      <c r="N218" s="5" t="str">
        <f>IFERROR(__xludf.DUMMYFUNCTION("IF(Y218&lt;&gt;"""", GOOGLETRANSLATE(Y218, ""RO"", ""EN""), """")"),"")</f>
        <v/>
      </c>
      <c r="P218" s="4" t="s">
        <v>655</v>
      </c>
      <c r="Q218" s="4" t="s">
        <v>656</v>
      </c>
      <c r="R218" s="4" t="s">
        <v>657</v>
      </c>
      <c r="S218" s="4" t="s">
        <v>103</v>
      </c>
      <c r="T218" s="4" t="s">
        <v>104</v>
      </c>
    </row>
    <row r="219" ht="15.75" customHeight="1">
      <c r="A219" s="4" t="s">
        <v>658</v>
      </c>
      <c r="B219" s="4" t="s">
        <v>659</v>
      </c>
      <c r="C219" s="4" t="str">
        <f>IFERROR(__xludf.DUMMYFUNCTION("GOOGLETRANSLATE(B219, ""RO"", ""EN"")"),"Do you agree or not with the following statements? The minimum wage should be the same whether you work in the state or private.")</f>
        <v>Do you agree or not with the following statements? The minimum wage should be the same whether you work in the state or private.</v>
      </c>
      <c r="D219" s="5" t="str">
        <f>IFERROR(__xludf.DUMMYFUNCTION("IF(O219&lt;&gt;"""", GOOGLETRANSLATE(O219, ""RO"", ""EN""), """")"),"")</f>
        <v/>
      </c>
      <c r="E219" s="6" t="str">
        <f>IFERROR(__xludf.DUMMYFUNCTION("IF(P219&lt;&gt;"""", GOOGLETRANSLATE(P219, ""RO"", ""EN""), """")"),"Total disagreement")</f>
        <v>Total disagreement</v>
      </c>
      <c r="F219" s="5" t="str">
        <f>IFERROR(__xludf.DUMMYFUNCTION("IF(Q219&lt;&gt;"""", GOOGLETRANSLATE(Q219, ""RO"", ""EN""), """")"),"Disagreement")</f>
        <v>Disagreement</v>
      </c>
      <c r="G219" s="5" t="str">
        <f>IFERROR(__xludf.DUMMYFUNCTION("IF(R219&lt;&gt;"""", GOOGLETRANSLATE(R219, ""RO"", ""EN""), """")"),"Agree")</f>
        <v>Agree</v>
      </c>
      <c r="H219" s="5" t="str">
        <f>IFERROR(__xludf.DUMMYFUNCTION("IF(U219&lt;&gt;"""", GOOGLETRANSLATE(U219, ""RO"", ""EN""), """")"),"Totally agree")</f>
        <v>Totally agree</v>
      </c>
      <c r="I219" s="5" t="str">
        <f>IFERROR(__xludf.DUMMYFUNCTION("IF(V219&lt;&gt;"""", GOOGLETRANSLATE(V219, ""RO"", ""EN""), """")"),"")</f>
        <v/>
      </c>
      <c r="J219" s="5" t="str">
        <f>IFERROR(__xludf.DUMMYFUNCTION("IF(W219&lt;&gt;"""", GOOGLETRANSLATE(W219, ""RO"", ""EN""), """")"),"")</f>
        <v/>
      </c>
      <c r="K219" s="5" t="str">
        <f>IFERROR(__xludf.DUMMYFUNCTION("IF(X219&lt;&gt;"""", GOOGLETRANSLATE(X219, ""RO"", ""EN""), """")"),"")</f>
        <v/>
      </c>
      <c r="L219" s="5" t="str">
        <f>IFERROR(__xludf.DUMMYFUNCTION("IF(S219&lt;&gt;"""", GOOGLETRANSLATE(S219, ""RO"", ""EN""), """")"),"Ns")</f>
        <v>Ns</v>
      </c>
      <c r="M219" s="5" t="str">
        <f>IFERROR(__xludf.DUMMYFUNCTION("IF(T219&lt;&gt;"""", GOOGLETRANSLATE(T219, ""RO"", ""EN""), """")"),"No.")</f>
        <v>No.</v>
      </c>
      <c r="N219" s="5" t="str">
        <f>IFERROR(__xludf.DUMMYFUNCTION("IF(Y219&lt;&gt;"""", GOOGLETRANSLATE(Y219, ""RO"", ""EN""), """")"),"")</f>
        <v/>
      </c>
      <c r="P219" s="4" t="s">
        <v>660</v>
      </c>
      <c r="Q219" s="4" t="s">
        <v>661</v>
      </c>
      <c r="R219" s="4" t="s">
        <v>662</v>
      </c>
      <c r="S219" s="4" t="s">
        <v>103</v>
      </c>
      <c r="T219" s="4" t="s">
        <v>104</v>
      </c>
      <c r="U219" s="4" t="s">
        <v>663</v>
      </c>
    </row>
    <row r="220" ht="15.75" customHeight="1">
      <c r="A220" s="4" t="s">
        <v>664</v>
      </c>
      <c r="B220" s="4" t="s">
        <v>665</v>
      </c>
      <c r="C220" s="4" t="str">
        <f>IFERROR(__xludf.DUMMYFUNCTION("GOOGLETRANSLATE(B220, ""RO"", ""EN"")"),"All pensions should be calculated according to the same criteria, regardless of occupation or function.")</f>
        <v>All pensions should be calculated according to the same criteria, regardless of occupation or function.</v>
      </c>
      <c r="D220" s="5" t="str">
        <f>IFERROR(__xludf.DUMMYFUNCTION("IF(O220&lt;&gt;"""", GOOGLETRANSLATE(O220, ""RO"", ""EN""), """")"),"")</f>
        <v/>
      </c>
      <c r="E220" s="6" t="str">
        <f>IFERROR(__xludf.DUMMYFUNCTION("IF(P220&lt;&gt;"""", GOOGLETRANSLATE(P220, ""RO"", ""EN""), """")"),"Total disagreement")</f>
        <v>Total disagreement</v>
      </c>
      <c r="F220" s="5" t="str">
        <f>IFERROR(__xludf.DUMMYFUNCTION("IF(Q220&lt;&gt;"""", GOOGLETRANSLATE(Q220, ""RO"", ""EN""), """")"),"Disagreement")</f>
        <v>Disagreement</v>
      </c>
      <c r="G220" s="5" t="str">
        <f>IFERROR(__xludf.DUMMYFUNCTION("IF(R220&lt;&gt;"""", GOOGLETRANSLATE(R220, ""RO"", ""EN""), """")"),"Agree")</f>
        <v>Agree</v>
      </c>
      <c r="H220" s="5" t="str">
        <f>IFERROR(__xludf.DUMMYFUNCTION("IF(U220&lt;&gt;"""", GOOGLETRANSLATE(U220, ""RO"", ""EN""), """")"),"Totally agree")</f>
        <v>Totally agree</v>
      </c>
      <c r="I220" s="5" t="str">
        <f>IFERROR(__xludf.DUMMYFUNCTION("IF(V220&lt;&gt;"""", GOOGLETRANSLATE(V220, ""RO"", ""EN""), """")"),"")</f>
        <v/>
      </c>
      <c r="J220" s="5" t="str">
        <f>IFERROR(__xludf.DUMMYFUNCTION("IF(W220&lt;&gt;"""", GOOGLETRANSLATE(W220, ""RO"", ""EN""), """")"),"")</f>
        <v/>
      </c>
      <c r="K220" s="5" t="str">
        <f>IFERROR(__xludf.DUMMYFUNCTION("IF(X220&lt;&gt;"""", GOOGLETRANSLATE(X220, ""RO"", ""EN""), """")"),"")</f>
        <v/>
      </c>
      <c r="L220" s="5" t="str">
        <f>IFERROR(__xludf.DUMMYFUNCTION("IF(S220&lt;&gt;"""", GOOGLETRANSLATE(S220, ""RO"", ""EN""), """")"),"Ns")</f>
        <v>Ns</v>
      </c>
      <c r="M220" s="5" t="str">
        <f>IFERROR(__xludf.DUMMYFUNCTION("IF(T220&lt;&gt;"""", GOOGLETRANSLATE(T220, ""RO"", ""EN""), """")"),"No.")</f>
        <v>No.</v>
      </c>
      <c r="N220" s="5" t="str">
        <f>IFERROR(__xludf.DUMMYFUNCTION("IF(Y220&lt;&gt;"""", GOOGLETRANSLATE(Y220, ""RO"", ""EN""), """")"),"")</f>
        <v/>
      </c>
      <c r="P220" s="4" t="s">
        <v>660</v>
      </c>
      <c r="Q220" s="4" t="s">
        <v>661</v>
      </c>
      <c r="R220" s="4" t="s">
        <v>662</v>
      </c>
      <c r="S220" s="4" t="s">
        <v>103</v>
      </c>
      <c r="T220" s="4" t="s">
        <v>104</v>
      </c>
      <c r="U220" s="4" t="s">
        <v>663</v>
      </c>
    </row>
    <row r="221" ht="15.75" customHeight="1">
      <c r="A221" s="4" t="s">
        <v>666</v>
      </c>
      <c r="B221" s="4" t="s">
        <v>667</v>
      </c>
      <c r="C221" s="4" t="str">
        <f>IFERROR(__xludf.DUMMYFUNCTION("GOOGLETRANSLATE(B221, ""RO"", ""EN"")"),"Regardless of salaries, the percentage paid for taxes and taxes must be the same.")</f>
        <v>Regardless of salaries, the percentage paid for taxes and taxes must be the same.</v>
      </c>
      <c r="D221" s="5" t="str">
        <f>IFERROR(__xludf.DUMMYFUNCTION("IF(O221&lt;&gt;"""", GOOGLETRANSLATE(O221, ""RO"", ""EN""), """")"),"")</f>
        <v/>
      </c>
      <c r="E221" s="6" t="str">
        <f>IFERROR(__xludf.DUMMYFUNCTION("IF(P221&lt;&gt;"""", GOOGLETRANSLATE(P221, ""RO"", ""EN""), """")"),"Total disagreement")</f>
        <v>Total disagreement</v>
      </c>
      <c r="F221" s="5" t="str">
        <f>IFERROR(__xludf.DUMMYFUNCTION("IF(Q221&lt;&gt;"""", GOOGLETRANSLATE(Q221, ""RO"", ""EN""), """")"),"Disagreement")</f>
        <v>Disagreement</v>
      </c>
      <c r="G221" s="5" t="str">
        <f>IFERROR(__xludf.DUMMYFUNCTION("IF(R221&lt;&gt;"""", GOOGLETRANSLATE(R221, ""RO"", ""EN""), """")"),"Agree")</f>
        <v>Agree</v>
      </c>
      <c r="H221" s="5" t="str">
        <f>IFERROR(__xludf.DUMMYFUNCTION("IF(U221&lt;&gt;"""", GOOGLETRANSLATE(U221, ""RO"", ""EN""), """")"),"Totally agree")</f>
        <v>Totally agree</v>
      </c>
      <c r="I221" s="5" t="str">
        <f>IFERROR(__xludf.DUMMYFUNCTION("IF(V221&lt;&gt;"""", GOOGLETRANSLATE(V221, ""RO"", ""EN""), """")"),"")</f>
        <v/>
      </c>
      <c r="J221" s="5" t="str">
        <f>IFERROR(__xludf.DUMMYFUNCTION("IF(W221&lt;&gt;"""", GOOGLETRANSLATE(W221, ""RO"", ""EN""), """")"),"")</f>
        <v/>
      </c>
      <c r="K221" s="5" t="str">
        <f>IFERROR(__xludf.DUMMYFUNCTION("IF(X221&lt;&gt;"""", GOOGLETRANSLATE(X221, ""RO"", ""EN""), """")"),"")</f>
        <v/>
      </c>
      <c r="L221" s="5" t="str">
        <f>IFERROR(__xludf.DUMMYFUNCTION("IF(S221&lt;&gt;"""", GOOGLETRANSLATE(S221, ""RO"", ""EN""), """")"),"Ns")</f>
        <v>Ns</v>
      </c>
      <c r="M221" s="5" t="str">
        <f>IFERROR(__xludf.DUMMYFUNCTION("IF(T221&lt;&gt;"""", GOOGLETRANSLATE(T221, ""RO"", ""EN""), """")"),"No.")</f>
        <v>No.</v>
      </c>
      <c r="N221" s="5" t="str">
        <f>IFERROR(__xludf.DUMMYFUNCTION("IF(Y221&lt;&gt;"""", GOOGLETRANSLATE(Y221, ""RO"", ""EN""), """")"),"")</f>
        <v/>
      </c>
      <c r="P221" s="4" t="s">
        <v>660</v>
      </c>
      <c r="Q221" s="4" t="s">
        <v>661</v>
      </c>
      <c r="R221" s="4" t="s">
        <v>662</v>
      </c>
      <c r="S221" s="4" t="s">
        <v>103</v>
      </c>
      <c r="T221" s="4" t="s">
        <v>104</v>
      </c>
      <c r="U221" s="4" t="s">
        <v>663</v>
      </c>
    </row>
    <row r="222" ht="15.75" customHeight="1">
      <c r="A222" s="4" t="s">
        <v>668</v>
      </c>
      <c r="B222" s="4" t="s">
        <v>669</v>
      </c>
      <c r="C222" s="4" t="str">
        <f>IFERROR(__xludf.DUMMYFUNCTION("GOOGLETRANSLATE(B222, ""RO"", ""EN"")"),"Do you think the following statements are true or false? In Romania there are too many budgets.")</f>
        <v>Do you think the following statements are true or false? In Romania there are too many budgets.</v>
      </c>
      <c r="D222" s="5" t="str">
        <f>IFERROR(__xludf.DUMMYFUNCTION("IF(O222&lt;&gt;"""", GOOGLETRANSLATE(O222, ""RO"", ""EN""), """")"),"")</f>
        <v/>
      </c>
      <c r="E222" s="6" t="str">
        <f>IFERROR(__xludf.DUMMYFUNCTION("IF(P222&lt;&gt;"""", GOOGLETRANSLATE(P222, ""RO"", ""EN""), """")"),"True")</f>
        <v>True</v>
      </c>
      <c r="F222" s="5" t="str">
        <f>IFERROR(__xludf.DUMMYFUNCTION("IF(Q222&lt;&gt;"""", GOOGLETRANSLATE(Q222, ""RO"", ""EN""), """")"),"Rather true")</f>
        <v>Rather true</v>
      </c>
      <c r="G222" s="5" t="str">
        <f>IFERROR(__xludf.DUMMYFUNCTION("IF(R222&lt;&gt;"""", GOOGLETRANSLATE(R222, ""RO"", ""EN""), """")"),"Rather false")</f>
        <v>Rather false</v>
      </c>
      <c r="H222" s="5" t="str">
        <f>IFERROR(__xludf.DUMMYFUNCTION("IF(U222&lt;&gt;"""", GOOGLETRANSLATE(U222, ""RO"", ""EN""), """")"),"Fake")</f>
        <v>Fake</v>
      </c>
      <c r="I222" s="5" t="str">
        <f>IFERROR(__xludf.DUMMYFUNCTION("IF(V222&lt;&gt;"""", GOOGLETRANSLATE(V222, ""RO"", ""EN""), """")"),"")</f>
        <v/>
      </c>
      <c r="J222" s="5" t="str">
        <f>IFERROR(__xludf.DUMMYFUNCTION("IF(W222&lt;&gt;"""", GOOGLETRANSLATE(W222, ""RO"", ""EN""), """")"),"")</f>
        <v/>
      </c>
      <c r="K222" s="5" t="str">
        <f>IFERROR(__xludf.DUMMYFUNCTION("IF(X222&lt;&gt;"""", GOOGLETRANSLATE(X222, ""RO"", ""EN""), """")"),"")</f>
        <v/>
      </c>
      <c r="L222" s="5" t="str">
        <f>IFERROR(__xludf.DUMMYFUNCTION("IF(S222&lt;&gt;"""", GOOGLETRANSLATE(S222, ""RO"", ""EN""), """")"),"Ns")</f>
        <v>Ns</v>
      </c>
      <c r="M222" s="5" t="str">
        <f>IFERROR(__xludf.DUMMYFUNCTION("IF(T222&lt;&gt;"""", GOOGLETRANSLATE(T222, ""RO"", ""EN""), """")"),"No.")</f>
        <v>No.</v>
      </c>
      <c r="N222" s="5" t="str">
        <f>IFERROR(__xludf.DUMMYFUNCTION("IF(Y222&lt;&gt;"""", GOOGLETRANSLATE(Y222, ""RO"", ""EN""), """")"),"")</f>
        <v/>
      </c>
      <c r="P222" s="4" t="s">
        <v>270</v>
      </c>
      <c r="Q222" s="4" t="s">
        <v>582</v>
      </c>
      <c r="R222" s="4" t="s">
        <v>584</v>
      </c>
      <c r="S222" s="4" t="s">
        <v>103</v>
      </c>
      <c r="T222" s="4" t="s">
        <v>104</v>
      </c>
      <c r="U222" s="4" t="s">
        <v>271</v>
      </c>
    </row>
    <row r="223" ht="15.75" customHeight="1">
      <c r="A223" s="4" t="s">
        <v>670</v>
      </c>
      <c r="B223" s="4" t="s">
        <v>671</v>
      </c>
      <c r="C223" s="4" t="str">
        <f>IFERROR(__xludf.DUMMYFUNCTION("GOOGLETRANSLATE(B223, ""RO"", ""EN"")"),"Romanian education is performing.")</f>
        <v>Romanian education is performing.</v>
      </c>
      <c r="D223" s="5" t="str">
        <f>IFERROR(__xludf.DUMMYFUNCTION("IF(O223&lt;&gt;"""", GOOGLETRANSLATE(O223, ""RO"", ""EN""), """")"),"")</f>
        <v/>
      </c>
      <c r="E223" s="6" t="str">
        <f>IFERROR(__xludf.DUMMYFUNCTION("IF(P223&lt;&gt;"""", GOOGLETRANSLATE(P223, ""RO"", ""EN""), """")"),"True")</f>
        <v>True</v>
      </c>
      <c r="F223" s="5" t="str">
        <f>IFERROR(__xludf.DUMMYFUNCTION("IF(Q223&lt;&gt;"""", GOOGLETRANSLATE(Q223, ""RO"", ""EN""), """")"),"Rather true")</f>
        <v>Rather true</v>
      </c>
      <c r="G223" s="5" t="str">
        <f>IFERROR(__xludf.DUMMYFUNCTION("IF(R223&lt;&gt;"""", GOOGLETRANSLATE(R223, ""RO"", ""EN""), """")"),"Rather false")</f>
        <v>Rather false</v>
      </c>
      <c r="H223" s="5" t="str">
        <f>IFERROR(__xludf.DUMMYFUNCTION("IF(U223&lt;&gt;"""", GOOGLETRANSLATE(U223, ""RO"", ""EN""), """")"),"Fake")</f>
        <v>Fake</v>
      </c>
      <c r="I223" s="5" t="str">
        <f>IFERROR(__xludf.DUMMYFUNCTION("IF(V223&lt;&gt;"""", GOOGLETRANSLATE(V223, ""RO"", ""EN""), """")"),"")</f>
        <v/>
      </c>
      <c r="J223" s="5" t="str">
        <f>IFERROR(__xludf.DUMMYFUNCTION("IF(W223&lt;&gt;"""", GOOGLETRANSLATE(W223, ""RO"", ""EN""), """")"),"")</f>
        <v/>
      </c>
      <c r="K223" s="5" t="str">
        <f>IFERROR(__xludf.DUMMYFUNCTION("IF(X223&lt;&gt;"""", GOOGLETRANSLATE(X223, ""RO"", ""EN""), """")"),"")</f>
        <v/>
      </c>
      <c r="L223" s="5" t="str">
        <f>IFERROR(__xludf.DUMMYFUNCTION("IF(S223&lt;&gt;"""", GOOGLETRANSLATE(S223, ""RO"", ""EN""), """")"),"Ns")</f>
        <v>Ns</v>
      </c>
      <c r="M223" s="5" t="str">
        <f>IFERROR(__xludf.DUMMYFUNCTION("IF(T223&lt;&gt;"""", GOOGLETRANSLATE(T223, ""RO"", ""EN""), """")"),"No.")</f>
        <v>No.</v>
      </c>
      <c r="N223" s="5" t="str">
        <f>IFERROR(__xludf.DUMMYFUNCTION("IF(Y223&lt;&gt;"""", GOOGLETRANSLATE(Y223, ""RO"", ""EN""), """")"),"")</f>
        <v/>
      </c>
      <c r="P223" s="4" t="s">
        <v>270</v>
      </c>
      <c r="Q223" s="4" t="s">
        <v>582</v>
      </c>
      <c r="R223" s="4" t="s">
        <v>584</v>
      </c>
      <c r="S223" s="4" t="s">
        <v>103</v>
      </c>
      <c r="T223" s="4" t="s">
        <v>104</v>
      </c>
      <c r="U223" s="4" t="s">
        <v>271</v>
      </c>
    </row>
    <row r="224" ht="15.75" customHeight="1">
      <c r="A224" s="4" t="s">
        <v>672</v>
      </c>
      <c r="B224" s="4" t="s">
        <v>673</v>
      </c>
      <c r="C224" s="4" t="str">
        <f>IFERROR(__xludf.DUMMYFUNCTION("GOOGLETRANSLATE(B224, ""RO"", ""EN"")"),"The number of parliamentarians is too high.")</f>
        <v>The number of parliamentarians is too high.</v>
      </c>
      <c r="D224" s="5" t="str">
        <f>IFERROR(__xludf.DUMMYFUNCTION("IF(O224&lt;&gt;"""", GOOGLETRANSLATE(O224, ""RO"", ""EN""), """")"),"")</f>
        <v/>
      </c>
      <c r="E224" s="6" t="str">
        <f>IFERROR(__xludf.DUMMYFUNCTION("IF(P224&lt;&gt;"""", GOOGLETRANSLATE(P224, ""RO"", ""EN""), """")"),"True")</f>
        <v>True</v>
      </c>
      <c r="F224" s="5" t="str">
        <f>IFERROR(__xludf.DUMMYFUNCTION("IF(Q224&lt;&gt;"""", GOOGLETRANSLATE(Q224, ""RO"", ""EN""), """")"),"Rather true")</f>
        <v>Rather true</v>
      </c>
      <c r="G224" s="5" t="str">
        <f>IFERROR(__xludf.DUMMYFUNCTION("IF(R224&lt;&gt;"""", GOOGLETRANSLATE(R224, ""RO"", ""EN""), """")"),"Rather false")</f>
        <v>Rather false</v>
      </c>
      <c r="H224" s="5" t="str">
        <f>IFERROR(__xludf.DUMMYFUNCTION("IF(U224&lt;&gt;"""", GOOGLETRANSLATE(U224, ""RO"", ""EN""), """")"),"Fake")</f>
        <v>Fake</v>
      </c>
      <c r="I224" s="5" t="str">
        <f>IFERROR(__xludf.DUMMYFUNCTION("IF(V224&lt;&gt;"""", GOOGLETRANSLATE(V224, ""RO"", ""EN""), """")"),"")</f>
        <v/>
      </c>
      <c r="J224" s="5" t="str">
        <f>IFERROR(__xludf.DUMMYFUNCTION("IF(W224&lt;&gt;"""", GOOGLETRANSLATE(W224, ""RO"", ""EN""), """")"),"")</f>
        <v/>
      </c>
      <c r="K224" s="5" t="str">
        <f>IFERROR(__xludf.DUMMYFUNCTION("IF(X224&lt;&gt;"""", GOOGLETRANSLATE(X224, ""RO"", ""EN""), """")"),"")</f>
        <v/>
      </c>
      <c r="L224" s="5" t="str">
        <f>IFERROR(__xludf.DUMMYFUNCTION("IF(S224&lt;&gt;"""", GOOGLETRANSLATE(S224, ""RO"", ""EN""), """")"),"Ns")</f>
        <v>Ns</v>
      </c>
      <c r="M224" s="5" t="str">
        <f>IFERROR(__xludf.DUMMYFUNCTION("IF(T224&lt;&gt;"""", GOOGLETRANSLATE(T224, ""RO"", ""EN""), """")"),"No.")</f>
        <v>No.</v>
      </c>
      <c r="N224" s="5" t="str">
        <f>IFERROR(__xludf.DUMMYFUNCTION("IF(Y224&lt;&gt;"""", GOOGLETRANSLATE(Y224, ""RO"", ""EN""), """")"),"")</f>
        <v/>
      </c>
      <c r="P224" s="4" t="s">
        <v>270</v>
      </c>
      <c r="Q224" s="4" t="s">
        <v>582</v>
      </c>
      <c r="R224" s="4" t="s">
        <v>584</v>
      </c>
      <c r="S224" s="4" t="s">
        <v>103</v>
      </c>
      <c r="T224" s="4" t="s">
        <v>104</v>
      </c>
      <c r="U224" s="4" t="s">
        <v>271</v>
      </c>
    </row>
    <row r="225" ht="15.75" customHeight="1">
      <c r="A225" s="4" t="s">
        <v>674</v>
      </c>
      <c r="B225" s="4" t="s">
        <v>675</v>
      </c>
      <c r="C225" s="4" t="str">
        <f>IFERROR(__xludf.DUMMYFUNCTION("GOOGLETRANSLATE(B225, ""RO"", ""EN"")"),"In your opinion, those who receive a pension ...")</f>
        <v>In your opinion, those who receive a pension ...</v>
      </c>
      <c r="D225" s="5" t="str">
        <f>IFERROR(__xludf.DUMMYFUNCTION("IF(O225&lt;&gt;"""", GOOGLETRANSLATE(O225, ""RO"", ""EN""), """")"),"")</f>
        <v/>
      </c>
      <c r="E225" s="6" t="str">
        <f>IFERROR(__xludf.DUMMYFUNCTION("IF(P225&lt;&gt;"""", GOOGLETRANSLATE(P225, ""RO"", ""EN""), """")"),"should not have the right to work")</f>
        <v>should not have the right to work</v>
      </c>
      <c r="F225" s="5" t="str">
        <f>IFERROR(__xludf.DUMMYFUNCTION("IF(Q225&lt;&gt;"""", GOOGLETRANSLATE(Q225, ""RO"", ""EN""), """")"),"should be able to work only in the private environment")</f>
        <v>should be able to work only in the private environment</v>
      </c>
      <c r="G225" s="5" t="str">
        <f>IFERROR(__xludf.DUMMYFUNCTION("IF(R225&lt;&gt;"""", GOOGLETRANSLATE(R225, ""RO"", ""EN""), """")"),"should be allowed to work anywhere")</f>
        <v>should be allowed to work anywhere</v>
      </c>
      <c r="H225" s="5" t="str">
        <f>IFERROR(__xludf.DUMMYFUNCTION("IF(U225&lt;&gt;"""", GOOGLETRANSLATE(U225, ""RO"", ""EN""), """")"),"")</f>
        <v/>
      </c>
      <c r="I225" s="5" t="str">
        <f>IFERROR(__xludf.DUMMYFUNCTION("IF(V225&lt;&gt;"""", GOOGLETRANSLATE(V225, ""RO"", ""EN""), """")"),"")</f>
        <v/>
      </c>
      <c r="J225" s="5" t="str">
        <f>IFERROR(__xludf.DUMMYFUNCTION("IF(W225&lt;&gt;"""", GOOGLETRANSLATE(W225, ""RO"", ""EN""), """")"),"")</f>
        <v/>
      </c>
      <c r="K225" s="5" t="str">
        <f>IFERROR(__xludf.DUMMYFUNCTION("IF(X225&lt;&gt;"""", GOOGLETRANSLATE(X225, ""RO"", ""EN""), """")"),"")</f>
        <v/>
      </c>
      <c r="L225" s="5" t="str">
        <f>IFERROR(__xludf.DUMMYFUNCTION("IF(S225&lt;&gt;"""", GOOGLETRANSLATE(S225, ""RO"", ""EN""), """")"),"Ns")</f>
        <v>Ns</v>
      </c>
      <c r="M225" s="5" t="str">
        <f>IFERROR(__xludf.DUMMYFUNCTION("IF(T225&lt;&gt;"""", GOOGLETRANSLATE(T225, ""RO"", ""EN""), """")"),"No.")</f>
        <v>No.</v>
      </c>
      <c r="N225" s="5" t="str">
        <f>IFERROR(__xludf.DUMMYFUNCTION("IF(Y225&lt;&gt;"""", GOOGLETRANSLATE(Y225, ""RO"", ""EN""), """")"),"")</f>
        <v/>
      </c>
      <c r="P225" s="4" t="s">
        <v>676</v>
      </c>
      <c r="Q225" s="4" t="s">
        <v>677</v>
      </c>
      <c r="R225" s="4" t="s">
        <v>678</v>
      </c>
      <c r="S225" s="4" t="s">
        <v>103</v>
      </c>
      <c r="T225" s="4" t="s">
        <v>104</v>
      </c>
    </row>
    <row r="226" ht="15.75" customHeight="1">
      <c r="A226" s="4" t="s">
        <v>679</v>
      </c>
      <c r="B226" s="4" t="s">
        <v>680</v>
      </c>
      <c r="C226" s="4" t="str">
        <f>IFERROR(__xludf.DUMMYFUNCTION("GOOGLETRANSLATE(B226, ""RO"", ""EN"")"),"How do you appreciate the salaries of budgets in ... health")</f>
        <v>How do you appreciate the salaries of budgets in ... health</v>
      </c>
      <c r="D226" s="5" t="str">
        <f>IFERROR(__xludf.DUMMYFUNCTION("IF(O226&lt;&gt;"""", GOOGLETRANSLATE(O226, ""RO"", ""EN""), """")"),"")</f>
        <v/>
      </c>
      <c r="E226" s="6" t="str">
        <f>IFERROR(__xludf.DUMMYFUNCTION("IF(P226&lt;&gt;"""", GOOGLETRANSLATE(P226, ""RO"", ""EN""), """")"),"too big")</f>
        <v>too big</v>
      </c>
      <c r="F226" s="5" t="str">
        <f>IFERROR(__xludf.DUMMYFUNCTION("IF(Q226&lt;&gt;"""", GOOGLETRANSLATE(Q226, ""RO"", ""EN""), """")"),"right")</f>
        <v>right</v>
      </c>
      <c r="G226" s="5" t="str">
        <f>IFERROR(__xludf.DUMMYFUNCTION("IF(R226&lt;&gt;"""", GOOGLETRANSLATE(R226, ""RO"", ""EN""), """")"),"too small")</f>
        <v>too small</v>
      </c>
      <c r="H226" s="5" t="str">
        <f>IFERROR(__xludf.DUMMYFUNCTION("IF(U226&lt;&gt;"""", GOOGLETRANSLATE(U226, ""RO"", ""EN""), """")"),"")</f>
        <v/>
      </c>
      <c r="I226" s="5" t="str">
        <f>IFERROR(__xludf.DUMMYFUNCTION("IF(V226&lt;&gt;"""", GOOGLETRANSLATE(V226, ""RO"", ""EN""), """")"),"")</f>
        <v/>
      </c>
      <c r="J226" s="5" t="str">
        <f>IFERROR(__xludf.DUMMYFUNCTION("IF(W226&lt;&gt;"""", GOOGLETRANSLATE(W226, ""RO"", ""EN""), """")"),"")</f>
        <v/>
      </c>
      <c r="K226" s="5" t="str">
        <f>IFERROR(__xludf.DUMMYFUNCTION("IF(X226&lt;&gt;"""", GOOGLETRANSLATE(X226, ""RO"", ""EN""), """")"),"")</f>
        <v/>
      </c>
      <c r="L226" s="5" t="str">
        <f>IFERROR(__xludf.DUMMYFUNCTION("IF(S226&lt;&gt;"""", GOOGLETRANSLATE(S226, ""RO"", ""EN""), """")"),"Ns")</f>
        <v>Ns</v>
      </c>
      <c r="M226" s="5" t="str">
        <f>IFERROR(__xludf.DUMMYFUNCTION("IF(T226&lt;&gt;"""", GOOGLETRANSLATE(T226, ""RO"", ""EN""), """")"),"No.")</f>
        <v>No.</v>
      </c>
      <c r="N226" s="5" t="str">
        <f>IFERROR(__xludf.DUMMYFUNCTION("IF(Y226&lt;&gt;"""", GOOGLETRANSLATE(Y226, ""RO"", ""EN""), """")"),"")</f>
        <v/>
      </c>
      <c r="P226" s="4" t="s">
        <v>681</v>
      </c>
      <c r="Q226" s="4" t="s">
        <v>682</v>
      </c>
      <c r="R226" s="4" t="s">
        <v>683</v>
      </c>
      <c r="S226" s="4" t="s">
        <v>103</v>
      </c>
      <c r="T226" s="4" t="s">
        <v>104</v>
      </c>
    </row>
    <row r="227" ht="15.75" customHeight="1">
      <c r="A227" s="4" t="s">
        <v>684</v>
      </c>
      <c r="B227" s="4" t="s">
        <v>685</v>
      </c>
      <c r="C227" s="4" t="str">
        <f>IFERROR(__xludf.DUMMYFUNCTION("GOOGLETRANSLATE(B227, ""RO"", ""EN"")"),"education")</f>
        <v>education</v>
      </c>
      <c r="D227" s="5" t="str">
        <f>IFERROR(__xludf.DUMMYFUNCTION("IF(O227&lt;&gt;"""", GOOGLETRANSLATE(O227, ""RO"", ""EN""), """")"),"")</f>
        <v/>
      </c>
      <c r="E227" s="6" t="str">
        <f>IFERROR(__xludf.DUMMYFUNCTION("IF(P227&lt;&gt;"""", GOOGLETRANSLATE(P227, ""RO"", ""EN""), """")"),"too big")</f>
        <v>too big</v>
      </c>
      <c r="F227" s="5" t="str">
        <f>IFERROR(__xludf.DUMMYFUNCTION("IF(Q227&lt;&gt;"""", GOOGLETRANSLATE(Q227, ""RO"", ""EN""), """")"),"right")</f>
        <v>right</v>
      </c>
      <c r="G227" s="5" t="str">
        <f>IFERROR(__xludf.DUMMYFUNCTION("IF(R227&lt;&gt;"""", GOOGLETRANSLATE(R227, ""RO"", ""EN""), """")"),"too small")</f>
        <v>too small</v>
      </c>
      <c r="H227" s="5" t="str">
        <f>IFERROR(__xludf.DUMMYFUNCTION("IF(U227&lt;&gt;"""", GOOGLETRANSLATE(U227, ""RO"", ""EN""), """")"),"")</f>
        <v/>
      </c>
      <c r="I227" s="5" t="str">
        <f>IFERROR(__xludf.DUMMYFUNCTION("IF(V227&lt;&gt;"""", GOOGLETRANSLATE(V227, ""RO"", ""EN""), """")"),"")</f>
        <v/>
      </c>
      <c r="J227" s="5" t="str">
        <f>IFERROR(__xludf.DUMMYFUNCTION("IF(W227&lt;&gt;"""", GOOGLETRANSLATE(W227, ""RO"", ""EN""), """")"),"")</f>
        <v/>
      </c>
      <c r="K227" s="5" t="str">
        <f>IFERROR(__xludf.DUMMYFUNCTION("IF(X227&lt;&gt;"""", GOOGLETRANSLATE(X227, ""RO"", ""EN""), """")"),"")</f>
        <v/>
      </c>
      <c r="L227" s="5" t="str">
        <f>IFERROR(__xludf.DUMMYFUNCTION("IF(S227&lt;&gt;"""", GOOGLETRANSLATE(S227, ""RO"", ""EN""), """")"),"Ns")</f>
        <v>Ns</v>
      </c>
      <c r="M227" s="5" t="str">
        <f>IFERROR(__xludf.DUMMYFUNCTION("IF(T227&lt;&gt;"""", GOOGLETRANSLATE(T227, ""RO"", ""EN""), """")"),"No.")</f>
        <v>No.</v>
      </c>
      <c r="N227" s="5" t="str">
        <f>IFERROR(__xludf.DUMMYFUNCTION("IF(Y227&lt;&gt;"""", GOOGLETRANSLATE(Y227, ""RO"", ""EN""), """")"),"")</f>
        <v/>
      </c>
      <c r="P227" s="4" t="s">
        <v>681</v>
      </c>
      <c r="Q227" s="4" t="s">
        <v>682</v>
      </c>
      <c r="R227" s="4" t="s">
        <v>683</v>
      </c>
      <c r="S227" s="4" t="s">
        <v>103</v>
      </c>
      <c r="T227" s="4" t="s">
        <v>104</v>
      </c>
    </row>
    <row r="228" ht="15.75" customHeight="1">
      <c r="A228" s="4" t="s">
        <v>686</v>
      </c>
      <c r="B228" s="4" t="s">
        <v>687</v>
      </c>
      <c r="C228" s="4" t="str">
        <f>IFERROR(__xludf.DUMMYFUNCTION("GOOGLETRANSLATE(B228, ""RO"", ""EN"")"),"administration")</f>
        <v>administration</v>
      </c>
      <c r="D228" s="5" t="str">
        <f>IFERROR(__xludf.DUMMYFUNCTION("IF(O228&lt;&gt;"""", GOOGLETRANSLATE(O228, ""RO"", ""EN""), """")"),"")</f>
        <v/>
      </c>
      <c r="E228" s="6" t="str">
        <f>IFERROR(__xludf.DUMMYFUNCTION("IF(P228&lt;&gt;"""", GOOGLETRANSLATE(P228, ""RO"", ""EN""), """")"),"too big")</f>
        <v>too big</v>
      </c>
      <c r="F228" s="5" t="str">
        <f>IFERROR(__xludf.DUMMYFUNCTION("IF(Q228&lt;&gt;"""", GOOGLETRANSLATE(Q228, ""RO"", ""EN""), """")"),"right")</f>
        <v>right</v>
      </c>
      <c r="G228" s="5" t="str">
        <f>IFERROR(__xludf.DUMMYFUNCTION("IF(R228&lt;&gt;"""", GOOGLETRANSLATE(R228, ""RO"", ""EN""), """")"),"too small")</f>
        <v>too small</v>
      </c>
      <c r="H228" s="5" t="str">
        <f>IFERROR(__xludf.DUMMYFUNCTION("IF(U228&lt;&gt;"""", GOOGLETRANSLATE(U228, ""RO"", ""EN""), """")"),"")</f>
        <v/>
      </c>
      <c r="I228" s="5" t="str">
        <f>IFERROR(__xludf.DUMMYFUNCTION("IF(V228&lt;&gt;"""", GOOGLETRANSLATE(V228, ""RO"", ""EN""), """")"),"")</f>
        <v/>
      </c>
      <c r="J228" s="5" t="str">
        <f>IFERROR(__xludf.DUMMYFUNCTION("IF(W228&lt;&gt;"""", GOOGLETRANSLATE(W228, ""RO"", ""EN""), """")"),"")</f>
        <v/>
      </c>
      <c r="K228" s="5" t="str">
        <f>IFERROR(__xludf.DUMMYFUNCTION("IF(X228&lt;&gt;"""", GOOGLETRANSLATE(X228, ""RO"", ""EN""), """")"),"")</f>
        <v/>
      </c>
      <c r="L228" s="5" t="str">
        <f>IFERROR(__xludf.DUMMYFUNCTION("IF(S228&lt;&gt;"""", GOOGLETRANSLATE(S228, ""RO"", ""EN""), """")"),"Ns")</f>
        <v>Ns</v>
      </c>
      <c r="M228" s="5" t="str">
        <f>IFERROR(__xludf.DUMMYFUNCTION("IF(T228&lt;&gt;"""", GOOGLETRANSLATE(T228, ""RO"", ""EN""), """")"),"No.")</f>
        <v>No.</v>
      </c>
      <c r="N228" s="5" t="str">
        <f>IFERROR(__xludf.DUMMYFUNCTION("IF(Y228&lt;&gt;"""", GOOGLETRANSLATE(Y228, ""RO"", ""EN""), """")"),"")</f>
        <v/>
      </c>
      <c r="P228" s="4" t="s">
        <v>681</v>
      </c>
      <c r="Q228" s="4" t="s">
        <v>682</v>
      </c>
      <c r="R228" s="4" t="s">
        <v>683</v>
      </c>
      <c r="S228" s="4" t="s">
        <v>103</v>
      </c>
      <c r="T228" s="4" t="s">
        <v>104</v>
      </c>
    </row>
    <row r="229" ht="15.75" customHeight="1">
      <c r="A229" s="4" t="s">
        <v>688</v>
      </c>
      <c r="B229" s="4" t="s">
        <v>689</v>
      </c>
      <c r="C229" s="4" t="str">
        <f>IFERROR(__xludf.DUMMYFUNCTION("GOOGLETRANSLATE(B229, ""RO"", ""EN"")"),"police")</f>
        <v>police</v>
      </c>
      <c r="D229" s="5" t="str">
        <f>IFERROR(__xludf.DUMMYFUNCTION("IF(O229&lt;&gt;"""", GOOGLETRANSLATE(O229, ""RO"", ""EN""), """")"),"")</f>
        <v/>
      </c>
      <c r="E229" s="6" t="str">
        <f>IFERROR(__xludf.DUMMYFUNCTION("IF(P229&lt;&gt;"""", GOOGLETRANSLATE(P229, ""RO"", ""EN""), """")"),"too big")</f>
        <v>too big</v>
      </c>
      <c r="F229" s="5" t="str">
        <f>IFERROR(__xludf.DUMMYFUNCTION("IF(Q229&lt;&gt;"""", GOOGLETRANSLATE(Q229, ""RO"", ""EN""), """")"),"right")</f>
        <v>right</v>
      </c>
      <c r="G229" s="5" t="str">
        <f>IFERROR(__xludf.DUMMYFUNCTION("IF(R229&lt;&gt;"""", GOOGLETRANSLATE(R229, ""RO"", ""EN""), """")"),"too small")</f>
        <v>too small</v>
      </c>
      <c r="H229" s="5" t="str">
        <f>IFERROR(__xludf.DUMMYFUNCTION("IF(U229&lt;&gt;"""", GOOGLETRANSLATE(U229, ""RO"", ""EN""), """")"),"")</f>
        <v/>
      </c>
      <c r="I229" s="5" t="str">
        <f>IFERROR(__xludf.DUMMYFUNCTION("IF(V229&lt;&gt;"""", GOOGLETRANSLATE(V229, ""RO"", ""EN""), """")"),"")</f>
        <v/>
      </c>
      <c r="J229" s="5" t="str">
        <f>IFERROR(__xludf.DUMMYFUNCTION("IF(W229&lt;&gt;"""", GOOGLETRANSLATE(W229, ""RO"", ""EN""), """")"),"")</f>
        <v/>
      </c>
      <c r="K229" s="5" t="str">
        <f>IFERROR(__xludf.DUMMYFUNCTION("IF(X229&lt;&gt;"""", GOOGLETRANSLATE(X229, ""RO"", ""EN""), """")"),"")</f>
        <v/>
      </c>
      <c r="L229" s="5" t="str">
        <f>IFERROR(__xludf.DUMMYFUNCTION("IF(S229&lt;&gt;"""", GOOGLETRANSLATE(S229, ""RO"", ""EN""), """")"),"Ns")</f>
        <v>Ns</v>
      </c>
      <c r="M229" s="5" t="str">
        <f>IFERROR(__xludf.DUMMYFUNCTION("IF(T229&lt;&gt;"""", GOOGLETRANSLATE(T229, ""RO"", ""EN""), """")"),"No.")</f>
        <v>No.</v>
      </c>
      <c r="N229" s="5" t="str">
        <f>IFERROR(__xludf.DUMMYFUNCTION("IF(Y229&lt;&gt;"""", GOOGLETRANSLATE(Y229, ""RO"", ""EN""), """")"),"")</f>
        <v/>
      </c>
      <c r="P229" s="4" t="s">
        <v>681</v>
      </c>
      <c r="Q229" s="4" t="s">
        <v>682</v>
      </c>
      <c r="R229" s="4" t="s">
        <v>683</v>
      </c>
      <c r="S229" s="4" t="s">
        <v>103</v>
      </c>
      <c r="T229" s="4" t="s">
        <v>104</v>
      </c>
    </row>
    <row r="230" ht="15.75" customHeight="1">
      <c r="A230" s="4" t="s">
        <v>690</v>
      </c>
      <c r="B230" s="4" t="s">
        <v>691</v>
      </c>
      <c r="C230" s="4" t="str">
        <f>IFERROR(__xludf.DUMMYFUNCTION("GOOGLETRANSLATE(B230, ""RO"", ""EN"")"),"justice")</f>
        <v>justice</v>
      </c>
      <c r="D230" s="5" t="str">
        <f>IFERROR(__xludf.DUMMYFUNCTION("IF(O230&lt;&gt;"""", GOOGLETRANSLATE(O230, ""RO"", ""EN""), """")"),"")</f>
        <v/>
      </c>
      <c r="E230" s="6" t="str">
        <f>IFERROR(__xludf.DUMMYFUNCTION("IF(P230&lt;&gt;"""", GOOGLETRANSLATE(P230, ""RO"", ""EN""), """")"),"too big")</f>
        <v>too big</v>
      </c>
      <c r="F230" s="5" t="str">
        <f>IFERROR(__xludf.DUMMYFUNCTION("IF(Q230&lt;&gt;"""", GOOGLETRANSLATE(Q230, ""RO"", ""EN""), """")"),"right")</f>
        <v>right</v>
      </c>
      <c r="G230" s="5" t="str">
        <f>IFERROR(__xludf.DUMMYFUNCTION("IF(R230&lt;&gt;"""", GOOGLETRANSLATE(R230, ""RO"", ""EN""), """")"),"too small")</f>
        <v>too small</v>
      </c>
      <c r="H230" s="5" t="str">
        <f>IFERROR(__xludf.DUMMYFUNCTION("IF(U230&lt;&gt;"""", GOOGLETRANSLATE(U230, ""RO"", ""EN""), """")"),"")</f>
        <v/>
      </c>
      <c r="I230" s="5" t="str">
        <f>IFERROR(__xludf.DUMMYFUNCTION("IF(V230&lt;&gt;"""", GOOGLETRANSLATE(V230, ""RO"", ""EN""), """")"),"")</f>
        <v/>
      </c>
      <c r="J230" s="5" t="str">
        <f>IFERROR(__xludf.DUMMYFUNCTION("IF(W230&lt;&gt;"""", GOOGLETRANSLATE(W230, ""RO"", ""EN""), """")"),"")</f>
        <v/>
      </c>
      <c r="K230" s="5" t="str">
        <f>IFERROR(__xludf.DUMMYFUNCTION("IF(X230&lt;&gt;"""", GOOGLETRANSLATE(X230, ""RO"", ""EN""), """")"),"")</f>
        <v/>
      </c>
      <c r="L230" s="5" t="str">
        <f>IFERROR(__xludf.DUMMYFUNCTION("IF(S230&lt;&gt;"""", GOOGLETRANSLATE(S230, ""RO"", ""EN""), """")"),"Ns")</f>
        <v>Ns</v>
      </c>
      <c r="M230" s="5" t="str">
        <f>IFERROR(__xludf.DUMMYFUNCTION("IF(T230&lt;&gt;"""", GOOGLETRANSLATE(T230, ""RO"", ""EN""), """")"),"No.")</f>
        <v>No.</v>
      </c>
      <c r="N230" s="5" t="str">
        <f>IFERROR(__xludf.DUMMYFUNCTION("IF(Y230&lt;&gt;"""", GOOGLETRANSLATE(Y230, ""RO"", ""EN""), """")"),"")</f>
        <v/>
      </c>
      <c r="P230" s="4" t="s">
        <v>681</v>
      </c>
      <c r="Q230" s="4" t="s">
        <v>682</v>
      </c>
      <c r="R230" s="4" t="s">
        <v>683</v>
      </c>
      <c r="S230" s="4" t="s">
        <v>103</v>
      </c>
      <c r="T230" s="4" t="s">
        <v>104</v>
      </c>
    </row>
    <row r="231" ht="15.75" customHeight="1">
      <c r="A231" s="4" t="s">
        <v>692</v>
      </c>
      <c r="B231" s="4" t="s">
        <v>693</v>
      </c>
      <c r="C231" s="4" t="str">
        <f>IFERROR(__xludf.DUMMYFUNCTION("GOOGLETRANSLATE(B231, ""RO"", ""EN"")"),"On a scale from 0 to 10, please tell me how much confidence you have in each of the following institutions. It means that you do not trust that institution at all, and 10 means that you have full confidence. If you do not know enough work")</f>
        <v>On a scale from 0 to 10, please tell me how much confidence you have in each of the following institutions. It means that you do not trust that institution at all, and 10 means that you have full confidence. If you do not know enough work</v>
      </c>
      <c r="D231" s="5" t="str">
        <f>IFERROR(__xludf.DUMMYFUNCTION("IF(O231&lt;&gt;"""", GOOGLETRANSLATE(O231, ""RO"", ""EN""), """")"),"Not confidence")</f>
        <v>Not confidence</v>
      </c>
      <c r="E231" s="6" t="str">
        <f>IFERROR(__xludf.DUMMYFUNCTION("IF(P231&lt;&gt;"""", GOOGLETRANSLATE(P231, ""RO"", ""EN""), """")"),"1")</f>
        <v>1</v>
      </c>
      <c r="F231" s="5" t="str">
        <f>IFERROR(__xludf.DUMMYFUNCTION("IF(Q231&lt;&gt;"""", GOOGLETRANSLATE(Q231, ""RO"", ""EN""), """")"),"2")</f>
        <v>2</v>
      </c>
      <c r="G231" s="5" t="str">
        <f>IFERROR(__xludf.DUMMYFUNCTION("IF(R231&lt;&gt;"""", GOOGLETRANSLATE(R231, ""RO"", ""EN""), """")"),"3")</f>
        <v>3</v>
      </c>
      <c r="H231" s="5" t="str">
        <f>IFERROR(__xludf.DUMMYFUNCTION("IF(U231&lt;&gt;"""", GOOGLETRANSLATE(U231, ""RO"", ""EN""), """")"),"4")</f>
        <v>4</v>
      </c>
      <c r="I231" s="5" t="str">
        <f>IFERROR(__xludf.DUMMYFUNCTION("IF(V231&lt;&gt;"""", GOOGLETRANSLATE(V231, ""RO"", ""EN""), """")"),"5")</f>
        <v>5</v>
      </c>
      <c r="J231" s="5" t="str">
        <f>IFERROR(__xludf.DUMMYFUNCTION("IF(W231&lt;&gt;"""", GOOGLETRANSLATE(W231, ""RO"", ""EN""), """")"),"6")</f>
        <v>6</v>
      </c>
      <c r="K231" s="5" t="str">
        <f>IFERROR(__xludf.DUMMYFUNCTION("IF(X231&lt;&gt;"""", GOOGLETRANSLATE(X231, ""RO"", ""EN""), """")"),"7")</f>
        <v>7</v>
      </c>
      <c r="L231" s="5" t="str">
        <f>IFERROR(__xludf.DUMMYFUNCTION("IF(S231&lt;&gt;"""", GOOGLETRANSLATE(S231, ""RO"", ""EN""), """")"),"8")</f>
        <v>8</v>
      </c>
      <c r="M231" s="5" t="str">
        <f>IFERROR(__xludf.DUMMYFUNCTION("IF(T231&lt;&gt;"""", GOOGLETRANSLATE(T231, ""RO"", ""EN""), """")"),"9")</f>
        <v>9</v>
      </c>
      <c r="N231" s="5" t="str">
        <f>IFERROR(__xludf.DUMMYFUNCTION("IF(Y231&lt;&gt;"""", GOOGLETRANSLATE(Y231, ""RO"", ""EN""), """")"),"Full trust")</f>
        <v>Full trust</v>
      </c>
      <c r="O231" s="4" t="s">
        <v>694</v>
      </c>
      <c r="P231" s="4" t="s">
        <v>168</v>
      </c>
      <c r="Q231" s="4" t="s">
        <v>169</v>
      </c>
      <c r="R231" s="4" t="s">
        <v>170</v>
      </c>
      <c r="S231" s="4" t="s">
        <v>171</v>
      </c>
      <c r="T231" s="4" t="s">
        <v>172</v>
      </c>
      <c r="U231" s="4" t="s">
        <v>173</v>
      </c>
      <c r="V231" s="4" t="s">
        <v>174</v>
      </c>
      <c r="W231" s="4" t="s">
        <v>175</v>
      </c>
      <c r="X231" s="4" t="s">
        <v>176</v>
      </c>
      <c r="Y231" s="4" t="s">
        <v>695</v>
      </c>
      <c r="AA231" s="4" t="s">
        <v>103</v>
      </c>
      <c r="AB231" s="4" t="s">
        <v>104</v>
      </c>
    </row>
    <row r="232" ht="15.75" customHeight="1">
      <c r="A232" s="4" t="s">
        <v>696</v>
      </c>
      <c r="B232" s="4" t="s">
        <v>697</v>
      </c>
      <c r="C232" s="4" t="str">
        <f>IFERROR(__xludf.DUMMYFUNCTION("GOOGLETRANSLATE(B232, ""RO"", ""EN"")"),"The Government of Romania")</f>
        <v>The Government of Romania</v>
      </c>
      <c r="D232" s="5" t="str">
        <f>IFERROR(__xludf.DUMMYFUNCTION("IF(O232&lt;&gt;"""", GOOGLETRANSLATE(O232, ""RO"", ""EN""), """")"),"Not confidence")</f>
        <v>Not confidence</v>
      </c>
      <c r="E232" s="6" t="str">
        <f>IFERROR(__xludf.DUMMYFUNCTION("IF(P232&lt;&gt;"""", GOOGLETRANSLATE(P232, ""RO"", ""EN""), """")"),"1")</f>
        <v>1</v>
      </c>
      <c r="F232" s="5" t="str">
        <f>IFERROR(__xludf.DUMMYFUNCTION("IF(Q232&lt;&gt;"""", GOOGLETRANSLATE(Q232, ""RO"", ""EN""), """")"),"2")</f>
        <v>2</v>
      </c>
      <c r="G232" s="5" t="str">
        <f>IFERROR(__xludf.DUMMYFUNCTION("IF(R232&lt;&gt;"""", GOOGLETRANSLATE(R232, ""RO"", ""EN""), """")"),"3")</f>
        <v>3</v>
      </c>
      <c r="H232" s="5" t="str">
        <f>IFERROR(__xludf.DUMMYFUNCTION("IF(U232&lt;&gt;"""", GOOGLETRANSLATE(U232, ""RO"", ""EN""), """")"),"4")</f>
        <v>4</v>
      </c>
      <c r="I232" s="5" t="str">
        <f>IFERROR(__xludf.DUMMYFUNCTION("IF(V232&lt;&gt;"""", GOOGLETRANSLATE(V232, ""RO"", ""EN""), """")"),"5")</f>
        <v>5</v>
      </c>
      <c r="J232" s="5" t="str">
        <f>IFERROR(__xludf.DUMMYFUNCTION("IF(W232&lt;&gt;"""", GOOGLETRANSLATE(W232, ""RO"", ""EN""), """")"),"6")</f>
        <v>6</v>
      </c>
      <c r="K232" s="5" t="str">
        <f>IFERROR(__xludf.DUMMYFUNCTION("IF(X232&lt;&gt;"""", GOOGLETRANSLATE(X232, ""RO"", ""EN""), """")"),"7")</f>
        <v>7</v>
      </c>
      <c r="L232" s="5" t="str">
        <f>IFERROR(__xludf.DUMMYFUNCTION("IF(S232&lt;&gt;"""", GOOGLETRANSLATE(S232, ""RO"", ""EN""), """")"),"8")</f>
        <v>8</v>
      </c>
      <c r="M232" s="5" t="str">
        <f>IFERROR(__xludf.DUMMYFUNCTION("IF(T232&lt;&gt;"""", GOOGLETRANSLATE(T232, ""RO"", ""EN""), """")"),"9")</f>
        <v>9</v>
      </c>
      <c r="N232" s="5" t="str">
        <f>IFERROR(__xludf.DUMMYFUNCTION("IF(Y232&lt;&gt;"""", GOOGLETRANSLATE(Y232, ""RO"", ""EN""), """")"),"Full trust")</f>
        <v>Full trust</v>
      </c>
      <c r="O232" s="4" t="s">
        <v>694</v>
      </c>
      <c r="P232" s="4" t="s">
        <v>168</v>
      </c>
      <c r="Q232" s="4" t="s">
        <v>169</v>
      </c>
      <c r="R232" s="4" t="s">
        <v>170</v>
      </c>
      <c r="S232" s="4" t="s">
        <v>171</v>
      </c>
      <c r="T232" s="4" t="s">
        <v>172</v>
      </c>
      <c r="U232" s="4" t="s">
        <v>173</v>
      </c>
      <c r="V232" s="4" t="s">
        <v>174</v>
      </c>
      <c r="W232" s="4" t="s">
        <v>175</v>
      </c>
      <c r="X232" s="4" t="s">
        <v>176</v>
      </c>
      <c r="Y232" s="4" t="s">
        <v>695</v>
      </c>
      <c r="AA232" s="4" t="s">
        <v>103</v>
      </c>
      <c r="AB232" s="4" t="s">
        <v>104</v>
      </c>
    </row>
    <row r="233" ht="15.75" customHeight="1">
      <c r="A233" s="4" t="s">
        <v>698</v>
      </c>
      <c r="B233" s="4" t="s">
        <v>699</v>
      </c>
      <c r="C233" s="4" t="str">
        <f>IFERROR(__xludf.DUMMYFUNCTION("GOOGLETRANSLATE(B233, ""RO"", ""EN"")"),"Political parties in Romania")</f>
        <v>Political parties in Romania</v>
      </c>
      <c r="D233" s="5" t="str">
        <f>IFERROR(__xludf.DUMMYFUNCTION("IF(O233&lt;&gt;"""", GOOGLETRANSLATE(O233, ""RO"", ""EN""), """")"),"Not confidence")</f>
        <v>Not confidence</v>
      </c>
      <c r="E233" s="6" t="str">
        <f>IFERROR(__xludf.DUMMYFUNCTION("IF(P233&lt;&gt;"""", GOOGLETRANSLATE(P233, ""RO"", ""EN""), """")"),"1")</f>
        <v>1</v>
      </c>
      <c r="F233" s="5" t="str">
        <f>IFERROR(__xludf.DUMMYFUNCTION("IF(Q233&lt;&gt;"""", GOOGLETRANSLATE(Q233, ""RO"", ""EN""), """")"),"2")</f>
        <v>2</v>
      </c>
      <c r="G233" s="5" t="str">
        <f>IFERROR(__xludf.DUMMYFUNCTION("IF(R233&lt;&gt;"""", GOOGLETRANSLATE(R233, ""RO"", ""EN""), """")"),"3")</f>
        <v>3</v>
      </c>
      <c r="H233" s="5" t="str">
        <f>IFERROR(__xludf.DUMMYFUNCTION("IF(U233&lt;&gt;"""", GOOGLETRANSLATE(U233, ""RO"", ""EN""), """")"),"4")</f>
        <v>4</v>
      </c>
      <c r="I233" s="5" t="str">
        <f>IFERROR(__xludf.DUMMYFUNCTION("IF(V233&lt;&gt;"""", GOOGLETRANSLATE(V233, ""RO"", ""EN""), """")"),"5")</f>
        <v>5</v>
      </c>
      <c r="J233" s="5" t="str">
        <f>IFERROR(__xludf.DUMMYFUNCTION("IF(W233&lt;&gt;"""", GOOGLETRANSLATE(W233, ""RO"", ""EN""), """")"),"6")</f>
        <v>6</v>
      </c>
      <c r="K233" s="5" t="str">
        <f>IFERROR(__xludf.DUMMYFUNCTION("IF(X233&lt;&gt;"""", GOOGLETRANSLATE(X233, ""RO"", ""EN""), """")"),"7")</f>
        <v>7</v>
      </c>
      <c r="L233" s="5" t="str">
        <f>IFERROR(__xludf.DUMMYFUNCTION("IF(S233&lt;&gt;"""", GOOGLETRANSLATE(S233, ""RO"", ""EN""), """")"),"8")</f>
        <v>8</v>
      </c>
      <c r="M233" s="5" t="str">
        <f>IFERROR(__xludf.DUMMYFUNCTION("IF(T233&lt;&gt;"""", GOOGLETRANSLATE(T233, ""RO"", ""EN""), """")"),"9")</f>
        <v>9</v>
      </c>
      <c r="N233" s="5" t="str">
        <f>IFERROR(__xludf.DUMMYFUNCTION("IF(Y233&lt;&gt;"""", GOOGLETRANSLATE(Y233, ""RO"", ""EN""), """")"),"Full trust")</f>
        <v>Full trust</v>
      </c>
      <c r="O233" s="4" t="s">
        <v>694</v>
      </c>
      <c r="P233" s="4" t="s">
        <v>168</v>
      </c>
      <c r="Q233" s="4" t="s">
        <v>169</v>
      </c>
      <c r="R233" s="4" t="s">
        <v>170</v>
      </c>
      <c r="S233" s="4" t="s">
        <v>171</v>
      </c>
      <c r="T233" s="4" t="s">
        <v>172</v>
      </c>
      <c r="U233" s="4" t="s">
        <v>173</v>
      </c>
      <c r="V233" s="4" t="s">
        <v>174</v>
      </c>
      <c r="W233" s="4" t="s">
        <v>175</v>
      </c>
      <c r="X233" s="4" t="s">
        <v>176</v>
      </c>
      <c r="Y233" s="4" t="s">
        <v>695</v>
      </c>
      <c r="AA233" s="4" t="s">
        <v>103</v>
      </c>
      <c r="AB233" s="4" t="s">
        <v>104</v>
      </c>
    </row>
    <row r="234" ht="15.75" customHeight="1">
      <c r="A234" s="4" t="s">
        <v>700</v>
      </c>
      <c r="B234" s="4" t="s">
        <v>701</v>
      </c>
      <c r="C234" s="4" t="str">
        <f>IFERROR(__xludf.DUMMYFUNCTION("GOOGLETRANSLATE(B234, ""RO"", ""EN"")"),"Mass media in Romania")</f>
        <v>Mass media in Romania</v>
      </c>
      <c r="D234" s="5" t="str">
        <f>IFERROR(__xludf.DUMMYFUNCTION("IF(O234&lt;&gt;"""", GOOGLETRANSLATE(O234, ""RO"", ""EN""), """")"),"Not confidence")</f>
        <v>Not confidence</v>
      </c>
      <c r="E234" s="6" t="str">
        <f>IFERROR(__xludf.DUMMYFUNCTION("IF(P234&lt;&gt;"""", GOOGLETRANSLATE(P234, ""RO"", ""EN""), """")"),"1")</f>
        <v>1</v>
      </c>
      <c r="F234" s="5" t="str">
        <f>IFERROR(__xludf.DUMMYFUNCTION("IF(Q234&lt;&gt;"""", GOOGLETRANSLATE(Q234, ""RO"", ""EN""), """")"),"2")</f>
        <v>2</v>
      </c>
      <c r="G234" s="5" t="str">
        <f>IFERROR(__xludf.DUMMYFUNCTION("IF(R234&lt;&gt;"""", GOOGLETRANSLATE(R234, ""RO"", ""EN""), """")"),"3")</f>
        <v>3</v>
      </c>
      <c r="H234" s="5" t="str">
        <f>IFERROR(__xludf.DUMMYFUNCTION("IF(U234&lt;&gt;"""", GOOGLETRANSLATE(U234, ""RO"", ""EN""), """")"),"4")</f>
        <v>4</v>
      </c>
      <c r="I234" s="5" t="str">
        <f>IFERROR(__xludf.DUMMYFUNCTION("IF(V234&lt;&gt;"""", GOOGLETRANSLATE(V234, ""RO"", ""EN""), """")"),"5")</f>
        <v>5</v>
      </c>
      <c r="J234" s="5" t="str">
        <f>IFERROR(__xludf.DUMMYFUNCTION("IF(W234&lt;&gt;"""", GOOGLETRANSLATE(W234, ""RO"", ""EN""), """")"),"6")</f>
        <v>6</v>
      </c>
      <c r="K234" s="5" t="str">
        <f>IFERROR(__xludf.DUMMYFUNCTION("IF(X234&lt;&gt;"""", GOOGLETRANSLATE(X234, ""RO"", ""EN""), """")"),"7")</f>
        <v>7</v>
      </c>
      <c r="L234" s="5" t="str">
        <f>IFERROR(__xludf.DUMMYFUNCTION("IF(S234&lt;&gt;"""", GOOGLETRANSLATE(S234, ""RO"", ""EN""), """")"),"8")</f>
        <v>8</v>
      </c>
      <c r="M234" s="5" t="str">
        <f>IFERROR(__xludf.DUMMYFUNCTION("IF(T234&lt;&gt;"""", GOOGLETRANSLATE(T234, ""RO"", ""EN""), """")"),"9")</f>
        <v>9</v>
      </c>
      <c r="N234" s="5" t="str">
        <f>IFERROR(__xludf.DUMMYFUNCTION("IF(Y234&lt;&gt;"""", GOOGLETRANSLATE(Y234, ""RO"", ""EN""), """")"),"Full trust")</f>
        <v>Full trust</v>
      </c>
      <c r="O234" s="4" t="s">
        <v>694</v>
      </c>
      <c r="P234" s="4" t="s">
        <v>168</v>
      </c>
      <c r="Q234" s="4" t="s">
        <v>169</v>
      </c>
      <c r="R234" s="4" t="s">
        <v>170</v>
      </c>
      <c r="S234" s="4" t="s">
        <v>171</v>
      </c>
      <c r="T234" s="4" t="s">
        <v>172</v>
      </c>
      <c r="U234" s="4" t="s">
        <v>173</v>
      </c>
      <c r="V234" s="4" t="s">
        <v>174</v>
      </c>
      <c r="W234" s="4" t="s">
        <v>175</v>
      </c>
      <c r="X234" s="4" t="s">
        <v>176</v>
      </c>
      <c r="Y234" s="4" t="s">
        <v>695</v>
      </c>
      <c r="AA234" s="4" t="s">
        <v>103</v>
      </c>
      <c r="AB234" s="4" t="s">
        <v>104</v>
      </c>
    </row>
    <row r="235" ht="15.75" customHeight="1">
      <c r="A235" s="4" t="s">
        <v>702</v>
      </c>
      <c r="B235" s="4" t="s">
        <v>703</v>
      </c>
      <c r="C235" s="4" t="str">
        <f>IFERROR(__xludf.DUMMYFUNCTION("GOOGLETRANSLATE(B235, ""RO"", ""EN"")"),"the church")</f>
        <v>the church</v>
      </c>
      <c r="D235" s="5" t="str">
        <f>IFERROR(__xludf.DUMMYFUNCTION("IF(O235&lt;&gt;"""", GOOGLETRANSLATE(O235, ""RO"", ""EN""), """")"),"Not confidence")</f>
        <v>Not confidence</v>
      </c>
      <c r="E235" s="6" t="str">
        <f>IFERROR(__xludf.DUMMYFUNCTION("IF(P235&lt;&gt;"""", GOOGLETRANSLATE(P235, ""RO"", ""EN""), """")"),"1")</f>
        <v>1</v>
      </c>
      <c r="F235" s="5" t="str">
        <f>IFERROR(__xludf.DUMMYFUNCTION("IF(Q235&lt;&gt;"""", GOOGLETRANSLATE(Q235, ""RO"", ""EN""), """")"),"2")</f>
        <v>2</v>
      </c>
      <c r="G235" s="5" t="str">
        <f>IFERROR(__xludf.DUMMYFUNCTION("IF(R235&lt;&gt;"""", GOOGLETRANSLATE(R235, ""RO"", ""EN""), """")"),"3")</f>
        <v>3</v>
      </c>
      <c r="H235" s="5" t="str">
        <f>IFERROR(__xludf.DUMMYFUNCTION("IF(U235&lt;&gt;"""", GOOGLETRANSLATE(U235, ""RO"", ""EN""), """")"),"4")</f>
        <v>4</v>
      </c>
      <c r="I235" s="5" t="str">
        <f>IFERROR(__xludf.DUMMYFUNCTION("IF(V235&lt;&gt;"""", GOOGLETRANSLATE(V235, ""RO"", ""EN""), """")"),"5")</f>
        <v>5</v>
      </c>
      <c r="J235" s="5" t="str">
        <f>IFERROR(__xludf.DUMMYFUNCTION("IF(W235&lt;&gt;"""", GOOGLETRANSLATE(W235, ""RO"", ""EN""), """")"),"6")</f>
        <v>6</v>
      </c>
      <c r="K235" s="5" t="str">
        <f>IFERROR(__xludf.DUMMYFUNCTION("IF(X235&lt;&gt;"""", GOOGLETRANSLATE(X235, ""RO"", ""EN""), """")"),"7")</f>
        <v>7</v>
      </c>
      <c r="L235" s="5" t="str">
        <f>IFERROR(__xludf.DUMMYFUNCTION("IF(S235&lt;&gt;"""", GOOGLETRANSLATE(S235, ""RO"", ""EN""), """")"),"8")</f>
        <v>8</v>
      </c>
      <c r="M235" s="5" t="str">
        <f>IFERROR(__xludf.DUMMYFUNCTION("IF(T235&lt;&gt;"""", GOOGLETRANSLATE(T235, ""RO"", ""EN""), """")"),"9")</f>
        <v>9</v>
      </c>
      <c r="N235" s="5" t="str">
        <f>IFERROR(__xludf.DUMMYFUNCTION("IF(Y235&lt;&gt;"""", GOOGLETRANSLATE(Y235, ""RO"", ""EN""), """")"),"Full trust")</f>
        <v>Full trust</v>
      </c>
      <c r="O235" s="4" t="s">
        <v>694</v>
      </c>
      <c r="P235" s="4" t="s">
        <v>168</v>
      </c>
      <c r="Q235" s="4" t="s">
        <v>169</v>
      </c>
      <c r="R235" s="4" t="s">
        <v>170</v>
      </c>
      <c r="S235" s="4" t="s">
        <v>171</v>
      </c>
      <c r="T235" s="4" t="s">
        <v>172</v>
      </c>
      <c r="U235" s="4" t="s">
        <v>173</v>
      </c>
      <c r="V235" s="4" t="s">
        <v>174</v>
      </c>
      <c r="W235" s="4" t="s">
        <v>175</v>
      </c>
      <c r="X235" s="4" t="s">
        <v>176</v>
      </c>
      <c r="Y235" s="4" t="s">
        <v>695</v>
      </c>
      <c r="AA235" s="4" t="s">
        <v>103</v>
      </c>
      <c r="AB235" s="4" t="s">
        <v>104</v>
      </c>
    </row>
    <row r="236" ht="15.75" customHeight="1">
      <c r="A236" s="4" t="s">
        <v>704</v>
      </c>
      <c r="B236" s="4" t="s">
        <v>705</v>
      </c>
      <c r="C236" s="4" t="str">
        <f>IFERROR(__xludf.DUMMYFUNCTION("GOOGLETRANSLATE(B236, ""RO"", ""EN"")"),"Army")</f>
        <v>Army</v>
      </c>
      <c r="D236" s="5" t="str">
        <f>IFERROR(__xludf.DUMMYFUNCTION("IF(O236&lt;&gt;"""", GOOGLETRANSLATE(O236, ""RO"", ""EN""), """")"),"Not confidence")</f>
        <v>Not confidence</v>
      </c>
      <c r="E236" s="6" t="str">
        <f>IFERROR(__xludf.DUMMYFUNCTION("IF(P236&lt;&gt;"""", GOOGLETRANSLATE(P236, ""RO"", ""EN""), """")"),"1")</f>
        <v>1</v>
      </c>
      <c r="F236" s="5" t="str">
        <f>IFERROR(__xludf.DUMMYFUNCTION("IF(Q236&lt;&gt;"""", GOOGLETRANSLATE(Q236, ""RO"", ""EN""), """")"),"2")</f>
        <v>2</v>
      </c>
      <c r="G236" s="5" t="str">
        <f>IFERROR(__xludf.DUMMYFUNCTION("IF(R236&lt;&gt;"""", GOOGLETRANSLATE(R236, ""RO"", ""EN""), """")"),"3")</f>
        <v>3</v>
      </c>
      <c r="H236" s="5" t="str">
        <f>IFERROR(__xludf.DUMMYFUNCTION("IF(U236&lt;&gt;"""", GOOGLETRANSLATE(U236, ""RO"", ""EN""), """")"),"4")</f>
        <v>4</v>
      </c>
      <c r="I236" s="5" t="str">
        <f>IFERROR(__xludf.DUMMYFUNCTION("IF(V236&lt;&gt;"""", GOOGLETRANSLATE(V236, ""RO"", ""EN""), """")"),"5")</f>
        <v>5</v>
      </c>
      <c r="J236" s="5" t="str">
        <f>IFERROR(__xludf.DUMMYFUNCTION("IF(W236&lt;&gt;"""", GOOGLETRANSLATE(W236, ""RO"", ""EN""), """")"),"6")</f>
        <v>6</v>
      </c>
      <c r="K236" s="5" t="str">
        <f>IFERROR(__xludf.DUMMYFUNCTION("IF(X236&lt;&gt;"""", GOOGLETRANSLATE(X236, ""RO"", ""EN""), """")"),"7")</f>
        <v>7</v>
      </c>
      <c r="L236" s="5" t="str">
        <f>IFERROR(__xludf.DUMMYFUNCTION("IF(S236&lt;&gt;"""", GOOGLETRANSLATE(S236, ""RO"", ""EN""), """")"),"8")</f>
        <v>8</v>
      </c>
      <c r="M236" s="5" t="str">
        <f>IFERROR(__xludf.DUMMYFUNCTION("IF(T236&lt;&gt;"""", GOOGLETRANSLATE(T236, ""RO"", ""EN""), """")"),"9")</f>
        <v>9</v>
      </c>
      <c r="N236" s="5" t="str">
        <f>IFERROR(__xludf.DUMMYFUNCTION("IF(Y236&lt;&gt;"""", GOOGLETRANSLATE(Y236, ""RO"", ""EN""), """")"),"Full trust")</f>
        <v>Full trust</v>
      </c>
      <c r="O236" s="4" t="s">
        <v>694</v>
      </c>
      <c r="P236" s="4" t="s">
        <v>168</v>
      </c>
      <c r="Q236" s="4" t="s">
        <v>169</v>
      </c>
      <c r="R236" s="4" t="s">
        <v>170</v>
      </c>
      <c r="S236" s="4" t="s">
        <v>171</v>
      </c>
      <c r="T236" s="4" t="s">
        <v>172</v>
      </c>
      <c r="U236" s="4" t="s">
        <v>173</v>
      </c>
      <c r="V236" s="4" t="s">
        <v>174</v>
      </c>
      <c r="W236" s="4" t="s">
        <v>175</v>
      </c>
      <c r="X236" s="4" t="s">
        <v>176</v>
      </c>
      <c r="Y236" s="4" t="s">
        <v>695</v>
      </c>
      <c r="AA236" s="4" t="s">
        <v>103</v>
      </c>
      <c r="AB236" s="4" t="s">
        <v>104</v>
      </c>
    </row>
    <row r="237" ht="15.75" customHeight="1">
      <c r="A237" s="4" t="s">
        <v>706</v>
      </c>
      <c r="B237" s="4" t="s">
        <v>707</v>
      </c>
      <c r="C237" s="4" t="str">
        <f>IFERROR(__xludf.DUMMYFUNCTION("GOOGLETRANSLATE(B237, ""RO"", ""EN"")"),"Presidency")</f>
        <v>Presidency</v>
      </c>
      <c r="D237" s="5" t="str">
        <f>IFERROR(__xludf.DUMMYFUNCTION("IF(O237&lt;&gt;"""", GOOGLETRANSLATE(O237, ""RO"", ""EN""), """")"),"Not confidence")</f>
        <v>Not confidence</v>
      </c>
      <c r="E237" s="6" t="str">
        <f>IFERROR(__xludf.DUMMYFUNCTION("IF(P237&lt;&gt;"""", GOOGLETRANSLATE(P237, ""RO"", ""EN""), """")"),"1")</f>
        <v>1</v>
      </c>
      <c r="F237" s="5" t="str">
        <f>IFERROR(__xludf.DUMMYFUNCTION("IF(Q237&lt;&gt;"""", GOOGLETRANSLATE(Q237, ""RO"", ""EN""), """")"),"2")</f>
        <v>2</v>
      </c>
      <c r="G237" s="5" t="str">
        <f>IFERROR(__xludf.DUMMYFUNCTION("IF(R237&lt;&gt;"""", GOOGLETRANSLATE(R237, ""RO"", ""EN""), """")"),"3")</f>
        <v>3</v>
      </c>
      <c r="H237" s="5" t="str">
        <f>IFERROR(__xludf.DUMMYFUNCTION("IF(U237&lt;&gt;"""", GOOGLETRANSLATE(U237, ""RO"", ""EN""), """")"),"4")</f>
        <v>4</v>
      </c>
      <c r="I237" s="5" t="str">
        <f>IFERROR(__xludf.DUMMYFUNCTION("IF(V237&lt;&gt;"""", GOOGLETRANSLATE(V237, ""RO"", ""EN""), """")"),"5")</f>
        <v>5</v>
      </c>
      <c r="J237" s="5" t="str">
        <f>IFERROR(__xludf.DUMMYFUNCTION("IF(W237&lt;&gt;"""", GOOGLETRANSLATE(W237, ""RO"", ""EN""), """")"),"6")</f>
        <v>6</v>
      </c>
      <c r="K237" s="5" t="str">
        <f>IFERROR(__xludf.DUMMYFUNCTION("IF(X237&lt;&gt;"""", GOOGLETRANSLATE(X237, ""RO"", ""EN""), """")"),"7")</f>
        <v>7</v>
      </c>
      <c r="L237" s="5" t="str">
        <f>IFERROR(__xludf.DUMMYFUNCTION("IF(S237&lt;&gt;"""", GOOGLETRANSLATE(S237, ""RO"", ""EN""), """")"),"8")</f>
        <v>8</v>
      </c>
      <c r="M237" s="5" t="str">
        <f>IFERROR(__xludf.DUMMYFUNCTION("IF(T237&lt;&gt;"""", GOOGLETRANSLATE(T237, ""RO"", ""EN""), """")"),"9")</f>
        <v>9</v>
      </c>
      <c r="N237" s="5" t="str">
        <f>IFERROR(__xludf.DUMMYFUNCTION("IF(Y237&lt;&gt;"""", GOOGLETRANSLATE(Y237, ""RO"", ""EN""), """")"),"Full trust")</f>
        <v>Full trust</v>
      </c>
      <c r="O237" s="4" t="s">
        <v>694</v>
      </c>
      <c r="P237" s="4" t="s">
        <v>168</v>
      </c>
      <c r="Q237" s="4" t="s">
        <v>169</v>
      </c>
      <c r="R237" s="4" t="s">
        <v>170</v>
      </c>
      <c r="S237" s="4" t="s">
        <v>171</v>
      </c>
      <c r="T237" s="4" t="s">
        <v>172</v>
      </c>
      <c r="U237" s="4" t="s">
        <v>173</v>
      </c>
      <c r="V237" s="4" t="s">
        <v>174</v>
      </c>
      <c r="W237" s="4" t="s">
        <v>175</v>
      </c>
      <c r="X237" s="4" t="s">
        <v>176</v>
      </c>
      <c r="Y237" s="4" t="s">
        <v>695</v>
      </c>
      <c r="AA237" s="4" t="s">
        <v>103</v>
      </c>
      <c r="AB237" s="4" t="s">
        <v>104</v>
      </c>
    </row>
    <row r="238" ht="15.75" customHeight="1">
      <c r="A238" s="4" t="s">
        <v>708</v>
      </c>
      <c r="B238" s="4" t="s">
        <v>709</v>
      </c>
      <c r="C238" s="4" t="str">
        <f>IFERROR(__xludf.DUMMYFUNCTION("GOOGLETRANSLATE(B238, ""RO"", ""EN"")"),"City Hall of the locality where you live")</f>
        <v>City Hall of the locality where you live</v>
      </c>
      <c r="D238" s="5" t="str">
        <f>IFERROR(__xludf.DUMMYFUNCTION("IF(O238&lt;&gt;"""", GOOGLETRANSLATE(O238, ""RO"", ""EN""), """")"),"Not confidence")</f>
        <v>Not confidence</v>
      </c>
      <c r="E238" s="6" t="str">
        <f>IFERROR(__xludf.DUMMYFUNCTION("IF(P238&lt;&gt;"""", GOOGLETRANSLATE(P238, ""RO"", ""EN""), """")"),"1")</f>
        <v>1</v>
      </c>
      <c r="F238" s="5" t="str">
        <f>IFERROR(__xludf.DUMMYFUNCTION("IF(Q238&lt;&gt;"""", GOOGLETRANSLATE(Q238, ""RO"", ""EN""), """")"),"2")</f>
        <v>2</v>
      </c>
      <c r="G238" s="5" t="str">
        <f>IFERROR(__xludf.DUMMYFUNCTION("IF(R238&lt;&gt;"""", GOOGLETRANSLATE(R238, ""RO"", ""EN""), """")"),"3")</f>
        <v>3</v>
      </c>
      <c r="H238" s="5" t="str">
        <f>IFERROR(__xludf.DUMMYFUNCTION("IF(U238&lt;&gt;"""", GOOGLETRANSLATE(U238, ""RO"", ""EN""), """")"),"4")</f>
        <v>4</v>
      </c>
      <c r="I238" s="5" t="str">
        <f>IFERROR(__xludf.DUMMYFUNCTION("IF(V238&lt;&gt;"""", GOOGLETRANSLATE(V238, ""RO"", ""EN""), """")"),"5")</f>
        <v>5</v>
      </c>
      <c r="J238" s="5" t="str">
        <f>IFERROR(__xludf.DUMMYFUNCTION("IF(W238&lt;&gt;"""", GOOGLETRANSLATE(W238, ""RO"", ""EN""), """")"),"6")</f>
        <v>6</v>
      </c>
      <c r="K238" s="5" t="str">
        <f>IFERROR(__xludf.DUMMYFUNCTION("IF(X238&lt;&gt;"""", GOOGLETRANSLATE(X238, ""RO"", ""EN""), """")"),"7")</f>
        <v>7</v>
      </c>
      <c r="L238" s="5" t="str">
        <f>IFERROR(__xludf.DUMMYFUNCTION("IF(S238&lt;&gt;"""", GOOGLETRANSLATE(S238, ""RO"", ""EN""), """")"),"8")</f>
        <v>8</v>
      </c>
      <c r="M238" s="5" t="str">
        <f>IFERROR(__xludf.DUMMYFUNCTION("IF(T238&lt;&gt;"""", GOOGLETRANSLATE(T238, ""RO"", ""EN""), """")"),"9")</f>
        <v>9</v>
      </c>
      <c r="N238" s="5" t="str">
        <f>IFERROR(__xludf.DUMMYFUNCTION("IF(Y238&lt;&gt;"""", GOOGLETRANSLATE(Y238, ""RO"", ""EN""), """")"),"Full trust")</f>
        <v>Full trust</v>
      </c>
      <c r="O238" s="4" t="s">
        <v>694</v>
      </c>
      <c r="P238" s="4" t="s">
        <v>168</v>
      </c>
      <c r="Q238" s="4" t="s">
        <v>169</v>
      </c>
      <c r="R238" s="4" t="s">
        <v>170</v>
      </c>
      <c r="S238" s="4" t="s">
        <v>171</v>
      </c>
      <c r="T238" s="4" t="s">
        <v>172</v>
      </c>
      <c r="U238" s="4" t="s">
        <v>173</v>
      </c>
      <c r="V238" s="4" t="s">
        <v>174</v>
      </c>
      <c r="W238" s="4" t="s">
        <v>175</v>
      </c>
      <c r="X238" s="4" t="s">
        <v>176</v>
      </c>
      <c r="Y238" s="4" t="s">
        <v>695</v>
      </c>
      <c r="AA238" s="4" t="s">
        <v>103</v>
      </c>
      <c r="AB238" s="4" t="s">
        <v>104</v>
      </c>
    </row>
    <row r="239" ht="15.75" customHeight="1">
      <c r="A239" s="4" t="s">
        <v>710</v>
      </c>
      <c r="B239" s="4" t="s">
        <v>711</v>
      </c>
      <c r="C239" s="4" t="str">
        <f>IFERROR(__xludf.DUMMYFUNCTION("GOOGLETRANSLATE(B239, ""RO"", ""EN"")"),"Justice")</f>
        <v>Justice</v>
      </c>
      <c r="D239" s="5" t="str">
        <f>IFERROR(__xludf.DUMMYFUNCTION("IF(O239&lt;&gt;"""", GOOGLETRANSLATE(O239, ""RO"", ""EN""), """")"),"Not confidence")</f>
        <v>Not confidence</v>
      </c>
      <c r="E239" s="6" t="str">
        <f>IFERROR(__xludf.DUMMYFUNCTION("IF(P239&lt;&gt;"""", GOOGLETRANSLATE(P239, ""RO"", ""EN""), """")"),"1")</f>
        <v>1</v>
      </c>
      <c r="F239" s="5" t="str">
        <f>IFERROR(__xludf.DUMMYFUNCTION("IF(Q239&lt;&gt;"""", GOOGLETRANSLATE(Q239, ""RO"", ""EN""), """")"),"2")</f>
        <v>2</v>
      </c>
      <c r="G239" s="5" t="str">
        <f>IFERROR(__xludf.DUMMYFUNCTION("IF(R239&lt;&gt;"""", GOOGLETRANSLATE(R239, ""RO"", ""EN""), """")"),"3")</f>
        <v>3</v>
      </c>
      <c r="H239" s="5" t="str">
        <f>IFERROR(__xludf.DUMMYFUNCTION("IF(U239&lt;&gt;"""", GOOGLETRANSLATE(U239, ""RO"", ""EN""), """")"),"4")</f>
        <v>4</v>
      </c>
      <c r="I239" s="5" t="str">
        <f>IFERROR(__xludf.DUMMYFUNCTION("IF(V239&lt;&gt;"""", GOOGLETRANSLATE(V239, ""RO"", ""EN""), """")"),"5")</f>
        <v>5</v>
      </c>
      <c r="J239" s="5" t="str">
        <f>IFERROR(__xludf.DUMMYFUNCTION("IF(W239&lt;&gt;"""", GOOGLETRANSLATE(W239, ""RO"", ""EN""), """")"),"6")</f>
        <v>6</v>
      </c>
      <c r="K239" s="5" t="str">
        <f>IFERROR(__xludf.DUMMYFUNCTION("IF(X239&lt;&gt;"""", GOOGLETRANSLATE(X239, ""RO"", ""EN""), """")"),"7")</f>
        <v>7</v>
      </c>
      <c r="L239" s="5" t="str">
        <f>IFERROR(__xludf.DUMMYFUNCTION("IF(S239&lt;&gt;"""", GOOGLETRANSLATE(S239, ""RO"", ""EN""), """")"),"8")</f>
        <v>8</v>
      </c>
      <c r="M239" s="5" t="str">
        <f>IFERROR(__xludf.DUMMYFUNCTION("IF(T239&lt;&gt;"""", GOOGLETRANSLATE(T239, ""RO"", ""EN""), """")"),"9")</f>
        <v>9</v>
      </c>
      <c r="N239" s="5" t="str">
        <f>IFERROR(__xludf.DUMMYFUNCTION("IF(Y239&lt;&gt;"""", GOOGLETRANSLATE(Y239, ""RO"", ""EN""), """")"),"Full trust")</f>
        <v>Full trust</v>
      </c>
      <c r="O239" s="4" t="s">
        <v>694</v>
      </c>
      <c r="P239" s="4" t="s">
        <v>168</v>
      </c>
      <c r="Q239" s="4" t="s">
        <v>169</v>
      </c>
      <c r="R239" s="4" t="s">
        <v>170</v>
      </c>
      <c r="S239" s="4" t="s">
        <v>171</v>
      </c>
      <c r="T239" s="4" t="s">
        <v>172</v>
      </c>
      <c r="U239" s="4" t="s">
        <v>173</v>
      </c>
      <c r="V239" s="4" t="s">
        <v>174</v>
      </c>
      <c r="W239" s="4" t="s">
        <v>175</v>
      </c>
      <c r="X239" s="4" t="s">
        <v>176</v>
      </c>
      <c r="Y239" s="4" t="s">
        <v>695</v>
      </c>
      <c r="AA239" s="4" t="s">
        <v>103</v>
      </c>
      <c r="AB239" s="4" t="s">
        <v>104</v>
      </c>
    </row>
    <row r="240" ht="15.75" customHeight="1">
      <c r="A240" s="4" t="s">
        <v>712</v>
      </c>
      <c r="B240" s="4" t="s">
        <v>713</v>
      </c>
      <c r="C240" s="4" t="str">
        <f>IFERROR(__xludf.DUMMYFUNCTION("GOOGLETRANSLATE(B240, ""RO"", ""EN"")"),"Regarding various things related to politics, people talk about ""left"" and ""right"". What is your position? Please indicate your position using any number of 1-10. On this scale, where 1 means ""left"" and 10 means ""right")</f>
        <v>Regarding various things related to politics, people talk about "left" and "right". What is your position? Please indicate your position using any number of 1-10. On this scale, where 1 means "left" and 10 means "right</v>
      </c>
      <c r="D240" s="5" t="str">
        <f>IFERROR(__xludf.DUMMYFUNCTION("IF(O240&lt;&gt;"""", GOOGLETRANSLATE(O240, ""RO"", ""EN""), """")"),"Left")</f>
        <v>Left</v>
      </c>
      <c r="E240" s="6" t="str">
        <f>IFERROR(__xludf.DUMMYFUNCTION("IF(P240&lt;&gt;"""", GOOGLETRANSLATE(P240, ""RO"", ""EN""), """")"),"1")</f>
        <v>1</v>
      </c>
      <c r="F240" s="5" t="str">
        <f>IFERROR(__xludf.DUMMYFUNCTION("IF(Q240&lt;&gt;"""", GOOGLETRANSLATE(Q240, ""RO"", ""EN""), """")"),"2")</f>
        <v>2</v>
      </c>
      <c r="G240" s="5" t="str">
        <f>IFERROR(__xludf.DUMMYFUNCTION("IF(R240&lt;&gt;"""", GOOGLETRANSLATE(R240, ""RO"", ""EN""), """")"),"3")</f>
        <v>3</v>
      </c>
      <c r="H240" s="5" t="str">
        <f>IFERROR(__xludf.DUMMYFUNCTION("IF(U240&lt;&gt;"""", GOOGLETRANSLATE(U240, ""RO"", ""EN""), """")"),"4")</f>
        <v>4</v>
      </c>
      <c r="I240" s="5" t="str">
        <f>IFERROR(__xludf.DUMMYFUNCTION("IF(V240&lt;&gt;"""", GOOGLETRANSLATE(V240, ""RO"", ""EN""), """")"),"5")</f>
        <v>5</v>
      </c>
      <c r="J240" s="5" t="str">
        <f>IFERROR(__xludf.DUMMYFUNCTION("IF(W240&lt;&gt;"""", GOOGLETRANSLATE(W240, ""RO"", ""EN""), """")"),"6")</f>
        <v>6</v>
      </c>
      <c r="K240" s="5" t="str">
        <f>IFERROR(__xludf.DUMMYFUNCTION("IF(X240&lt;&gt;"""", GOOGLETRANSLATE(X240, ""RO"", ""EN""), """")"),"7")</f>
        <v>7</v>
      </c>
      <c r="L240" s="5" t="str">
        <f>IFERROR(__xludf.DUMMYFUNCTION("IF(S240&lt;&gt;"""", GOOGLETRANSLATE(S240, ""RO"", ""EN""), """")"),"8")</f>
        <v>8</v>
      </c>
      <c r="M240" s="5" t="str">
        <f>IFERROR(__xludf.DUMMYFUNCTION("IF(T240&lt;&gt;"""", GOOGLETRANSLATE(T240, ""RO"", ""EN""), """")"),"9")</f>
        <v>9</v>
      </c>
      <c r="N240" s="5" t="str">
        <f>IFERROR(__xludf.DUMMYFUNCTION("IF(Y240&lt;&gt;"""", GOOGLETRANSLATE(Y240, ""RO"", ""EN""), """")"),"Right")</f>
        <v>Right</v>
      </c>
      <c r="O240" s="4" t="s">
        <v>714</v>
      </c>
      <c r="P240" s="4" t="s">
        <v>168</v>
      </c>
      <c r="Q240" s="4" t="s">
        <v>169</v>
      </c>
      <c r="R240" s="4" t="s">
        <v>170</v>
      </c>
      <c r="S240" s="4" t="s">
        <v>171</v>
      </c>
      <c r="T240" s="4" t="s">
        <v>172</v>
      </c>
      <c r="U240" s="4" t="s">
        <v>173</v>
      </c>
      <c r="V240" s="4" t="s">
        <v>174</v>
      </c>
      <c r="W240" s="4" t="s">
        <v>175</v>
      </c>
      <c r="X240" s="4" t="s">
        <v>176</v>
      </c>
      <c r="Y240" s="4" t="s">
        <v>715</v>
      </c>
      <c r="AA240" s="4" t="s">
        <v>103</v>
      </c>
      <c r="AB240" s="4" t="s">
        <v>104</v>
      </c>
    </row>
    <row r="241" ht="15.75" customHeight="1">
      <c r="A241" s="4" t="s">
        <v>716</v>
      </c>
      <c r="B241" s="4" t="s">
        <v>717</v>
      </c>
      <c r="C241" s="4" t="str">
        <f>IFERROR(__xludf.DUMMYFUNCTION("GOOGLETRANSLATE(B241, ""RO"", ""EN"")"),"Is there a political formation in Romania that will represent your opinions well enough?")</f>
        <v>Is there a political formation in Romania that will represent your opinions well enough?</v>
      </c>
      <c r="D241" s="5" t="str">
        <f>IFERROR(__xludf.DUMMYFUNCTION("IF(O241&lt;&gt;"""", GOOGLETRANSLATE(O241, ""RO"", ""EN""), """")"),"")</f>
        <v/>
      </c>
      <c r="E241" s="6" t="str">
        <f>IFERROR(__xludf.DUMMYFUNCTION("IF(P241&lt;&gt;"""", GOOGLETRANSLATE(P241, ""RO"", ""EN""), """")"),"Yes")</f>
        <v>Yes</v>
      </c>
      <c r="F241" s="5" t="str">
        <f>IFERROR(__xludf.DUMMYFUNCTION("IF(Q241&lt;&gt;"""", GOOGLETRANSLATE(Q241, ""RO"", ""EN""), """")"),"Not")</f>
        <v>Not</v>
      </c>
      <c r="G241" s="5" t="str">
        <f>IFERROR(__xludf.DUMMYFUNCTION("IF(R241&lt;&gt;"""", GOOGLETRANSLATE(R241, ""RO"", ""EN""), """")"),"")</f>
        <v/>
      </c>
      <c r="H241" s="5" t="str">
        <f>IFERROR(__xludf.DUMMYFUNCTION("IF(U241&lt;&gt;"""", GOOGLETRANSLATE(U241, ""RO"", ""EN""), """")"),"")</f>
        <v/>
      </c>
      <c r="I241" s="5" t="str">
        <f>IFERROR(__xludf.DUMMYFUNCTION("IF(V241&lt;&gt;"""", GOOGLETRANSLATE(V241, ""RO"", ""EN""), """")"),"")</f>
        <v/>
      </c>
      <c r="J241" s="5" t="str">
        <f>IFERROR(__xludf.DUMMYFUNCTION("IF(W241&lt;&gt;"""", GOOGLETRANSLATE(W241, ""RO"", ""EN""), """")"),"")</f>
        <v/>
      </c>
      <c r="K241" s="5" t="str">
        <f>IFERROR(__xludf.DUMMYFUNCTION("IF(X241&lt;&gt;"""", GOOGLETRANSLATE(X241, ""RO"", ""EN""), """")"),"")</f>
        <v/>
      </c>
      <c r="L241" s="5" t="str">
        <f>IFERROR(__xludf.DUMMYFUNCTION("IF(S241&lt;&gt;"""", GOOGLETRANSLATE(S241, ""RO"", ""EN""), """")"),"Ns")</f>
        <v>Ns</v>
      </c>
      <c r="M241" s="5" t="str">
        <f>IFERROR(__xludf.DUMMYFUNCTION("IF(T241&lt;&gt;"""", GOOGLETRANSLATE(T241, ""RO"", ""EN""), """")"),"No.")</f>
        <v>No.</v>
      </c>
      <c r="N241" s="5" t="str">
        <f>IFERROR(__xludf.DUMMYFUNCTION("IF(Y241&lt;&gt;"""", GOOGLETRANSLATE(Y241, ""RO"", ""EN""), """")"),"")</f>
        <v/>
      </c>
      <c r="P241" s="4" t="s">
        <v>639</v>
      </c>
      <c r="Q241" s="4" t="s">
        <v>640</v>
      </c>
      <c r="S241" s="4" t="s">
        <v>103</v>
      </c>
      <c r="T241" s="4" t="s">
        <v>104</v>
      </c>
    </row>
    <row r="242" ht="15.75" customHeight="1">
      <c r="A242" s="4" t="s">
        <v>718</v>
      </c>
      <c r="B242" s="4" t="s">
        <v>719</v>
      </c>
      <c r="C242" s="4" t="str">
        <f>IFERROR(__xludf.DUMMYFUNCTION("GOOGLETRANSLATE(B242, ""RO"", ""EN"")"),"What is the political formation that best represents your opinions?")</f>
        <v>What is the political formation that best represents your opinions?</v>
      </c>
      <c r="D242" s="5" t="str">
        <f>IFERROR(__xludf.DUMMYFUNCTION("IF(O242&lt;&gt;"""", GOOGLETRANSLATE(O242, ""RO"", ""EN""), """")"),"")</f>
        <v/>
      </c>
      <c r="E242" s="6" t="str">
        <f>IFERROR(__xludf.DUMMYFUNCTION("IF(P242&lt;&gt;"""", GOOGLETRANSLATE(P242, ""RO"", ""EN""), """")"),"")</f>
        <v/>
      </c>
      <c r="F242" s="5" t="str">
        <f>IFERROR(__xludf.DUMMYFUNCTION("IF(Q242&lt;&gt;"""", GOOGLETRANSLATE(Q242, ""RO"", ""EN""), """")"),"")</f>
        <v/>
      </c>
      <c r="G242" s="5" t="str">
        <f>IFERROR(__xludf.DUMMYFUNCTION("IF(R242&lt;&gt;"""", GOOGLETRANSLATE(R242, ""RO"", ""EN""), """")"),"")</f>
        <v/>
      </c>
      <c r="H242" s="5" t="str">
        <f>IFERROR(__xludf.DUMMYFUNCTION("IF(U242&lt;&gt;"""", GOOGLETRANSLATE(U242, ""RO"", ""EN""), """")"),"")</f>
        <v/>
      </c>
      <c r="I242" s="5" t="str">
        <f>IFERROR(__xludf.DUMMYFUNCTION("IF(V242&lt;&gt;"""", GOOGLETRANSLATE(V242, ""RO"", ""EN""), """")"),"")</f>
        <v/>
      </c>
      <c r="J242" s="5" t="str">
        <f>IFERROR(__xludf.DUMMYFUNCTION("IF(W242&lt;&gt;"""", GOOGLETRANSLATE(W242, ""RO"", ""EN""), """")"),"")</f>
        <v/>
      </c>
      <c r="K242" s="5" t="str">
        <f>IFERROR(__xludf.DUMMYFUNCTION("IF(X242&lt;&gt;"""", GOOGLETRANSLATE(X242, ""RO"", ""EN""), """")"),"")</f>
        <v/>
      </c>
      <c r="L242" s="5" t="str">
        <f>IFERROR(__xludf.DUMMYFUNCTION("IF(S242&lt;&gt;"""", GOOGLETRANSLATE(S242, ""RO"", ""EN""), """")"),"")</f>
        <v/>
      </c>
      <c r="M242" s="5" t="str">
        <f>IFERROR(__xludf.DUMMYFUNCTION("IF(T242&lt;&gt;"""", GOOGLETRANSLATE(T242, ""RO"", ""EN""), """")"),"")</f>
        <v/>
      </c>
      <c r="N242" s="5" t="str">
        <f>IFERROR(__xludf.DUMMYFUNCTION("IF(Y242&lt;&gt;"""", GOOGLETRANSLATE(Y242, ""RO"", ""EN""), """")"),"")</f>
        <v/>
      </c>
    </row>
    <row r="243" ht="15.75" customHeight="1">
      <c r="A243" s="4" t="s">
        <v>720</v>
      </c>
      <c r="B243" s="4" t="s">
        <v>721</v>
      </c>
      <c r="C243" s="4" t="str">
        <f>IFERROR(__xludf.DUMMYFUNCTION("GOOGLETRANSLATE(B243, ""RO"", ""EN"")"),"Would you tell about yourself that you feel close to a certain political formation?")</f>
        <v>Would you tell about yourself that you feel close to a certain political formation?</v>
      </c>
      <c r="D243" s="5" t="str">
        <f>IFERROR(__xludf.DUMMYFUNCTION("IF(O243&lt;&gt;"""", GOOGLETRANSLATE(O243, ""RO"", ""EN""), """")"),"")</f>
        <v/>
      </c>
      <c r="E243" s="6" t="str">
        <f>IFERROR(__xludf.DUMMYFUNCTION("IF(P243&lt;&gt;"""", GOOGLETRANSLATE(P243, ""RO"", ""EN""), """")"),"Yes")</f>
        <v>Yes</v>
      </c>
      <c r="F243" s="5" t="str">
        <f>IFERROR(__xludf.DUMMYFUNCTION("IF(Q243&lt;&gt;"""", GOOGLETRANSLATE(Q243, ""RO"", ""EN""), """")"),"Not")</f>
        <v>Not</v>
      </c>
      <c r="G243" s="5" t="str">
        <f>IFERROR(__xludf.DUMMYFUNCTION("IF(R243&lt;&gt;"""", GOOGLETRANSLATE(R243, ""RO"", ""EN""), """")"),"")</f>
        <v/>
      </c>
      <c r="H243" s="5" t="str">
        <f>IFERROR(__xludf.DUMMYFUNCTION("IF(U243&lt;&gt;"""", GOOGLETRANSLATE(U243, ""RO"", ""EN""), """")"),"")</f>
        <v/>
      </c>
      <c r="I243" s="5" t="str">
        <f>IFERROR(__xludf.DUMMYFUNCTION("IF(V243&lt;&gt;"""", GOOGLETRANSLATE(V243, ""RO"", ""EN""), """")"),"")</f>
        <v/>
      </c>
      <c r="J243" s="5" t="str">
        <f>IFERROR(__xludf.DUMMYFUNCTION("IF(W243&lt;&gt;"""", GOOGLETRANSLATE(W243, ""RO"", ""EN""), """")"),"")</f>
        <v/>
      </c>
      <c r="K243" s="5" t="str">
        <f>IFERROR(__xludf.DUMMYFUNCTION("IF(X243&lt;&gt;"""", GOOGLETRANSLATE(X243, ""RO"", ""EN""), """")"),"")</f>
        <v/>
      </c>
      <c r="L243" s="5" t="str">
        <f>IFERROR(__xludf.DUMMYFUNCTION("IF(S243&lt;&gt;"""", GOOGLETRANSLATE(S243, ""RO"", ""EN""), """")"),"Ns")</f>
        <v>Ns</v>
      </c>
      <c r="M243" s="5" t="str">
        <f>IFERROR(__xludf.DUMMYFUNCTION("IF(T243&lt;&gt;"""", GOOGLETRANSLATE(T243, ""RO"", ""EN""), """")"),"No.")</f>
        <v>No.</v>
      </c>
      <c r="N243" s="5" t="str">
        <f>IFERROR(__xludf.DUMMYFUNCTION("IF(Y243&lt;&gt;"""", GOOGLETRANSLATE(Y243, ""RO"", ""EN""), """")"),"")</f>
        <v/>
      </c>
      <c r="P243" s="4" t="s">
        <v>639</v>
      </c>
      <c r="Q243" s="4" t="s">
        <v>640</v>
      </c>
      <c r="S243" s="4" t="s">
        <v>103</v>
      </c>
      <c r="T243" s="4" t="s">
        <v>104</v>
      </c>
    </row>
    <row r="244" ht="15.75" customHeight="1">
      <c r="A244" s="4" t="s">
        <v>722</v>
      </c>
      <c r="B244" s="4" t="s">
        <v>723</v>
      </c>
      <c r="C244" s="4" t="str">
        <f>IFERROR(__xludf.DUMMYFUNCTION("GOOGLETRANSLATE(B244, ""RO"", ""EN"")"),"Do you still feel closer to a political formation than to the others?")</f>
        <v>Do you still feel closer to a political formation than to the others?</v>
      </c>
      <c r="D244" s="5" t="str">
        <f>IFERROR(__xludf.DUMMYFUNCTION("IF(O244&lt;&gt;"""", GOOGLETRANSLATE(O244, ""RO"", ""EN""), """")"),"")</f>
        <v/>
      </c>
      <c r="E244" s="6" t="str">
        <f>IFERROR(__xludf.DUMMYFUNCTION("IF(P244&lt;&gt;"""", GOOGLETRANSLATE(P244, ""RO"", ""EN""), """")"),"Yes")</f>
        <v>Yes</v>
      </c>
      <c r="F244" s="5" t="str">
        <f>IFERROR(__xludf.DUMMYFUNCTION("IF(Q244&lt;&gt;"""", GOOGLETRANSLATE(Q244, ""RO"", ""EN""), """")"),"Not")</f>
        <v>Not</v>
      </c>
      <c r="G244" s="5" t="str">
        <f>IFERROR(__xludf.DUMMYFUNCTION("IF(R244&lt;&gt;"""", GOOGLETRANSLATE(R244, ""RO"", ""EN""), """")"),"")</f>
        <v/>
      </c>
      <c r="H244" s="5" t="str">
        <f>IFERROR(__xludf.DUMMYFUNCTION("IF(U244&lt;&gt;"""", GOOGLETRANSLATE(U244, ""RO"", ""EN""), """")"),"")</f>
        <v/>
      </c>
      <c r="I244" s="5" t="str">
        <f>IFERROR(__xludf.DUMMYFUNCTION("IF(V244&lt;&gt;"""", GOOGLETRANSLATE(V244, ""RO"", ""EN""), """")"),"")</f>
        <v/>
      </c>
      <c r="J244" s="5" t="str">
        <f>IFERROR(__xludf.DUMMYFUNCTION("IF(W244&lt;&gt;"""", GOOGLETRANSLATE(W244, ""RO"", ""EN""), """")"),"")</f>
        <v/>
      </c>
      <c r="K244" s="5" t="str">
        <f>IFERROR(__xludf.DUMMYFUNCTION("IF(X244&lt;&gt;"""", GOOGLETRANSLATE(X244, ""RO"", ""EN""), """")"),"")</f>
        <v/>
      </c>
      <c r="L244" s="5" t="str">
        <f>IFERROR(__xludf.DUMMYFUNCTION("IF(S244&lt;&gt;"""", GOOGLETRANSLATE(S244, ""RO"", ""EN""), """")"),"Ns")</f>
        <v>Ns</v>
      </c>
      <c r="M244" s="5" t="str">
        <f>IFERROR(__xludf.DUMMYFUNCTION("IF(T244&lt;&gt;"""", GOOGLETRANSLATE(T244, ""RO"", ""EN""), """")"),"No.")</f>
        <v>No.</v>
      </c>
      <c r="N244" s="5" t="str">
        <f>IFERROR(__xludf.DUMMYFUNCTION("IF(Y244&lt;&gt;"""", GOOGLETRANSLATE(Y244, ""RO"", ""EN""), """")"),"")</f>
        <v/>
      </c>
      <c r="P244" s="4" t="s">
        <v>639</v>
      </c>
      <c r="Q244" s="4" t="s">
        <v>640</v>
      </c>
      <c r="S244" s="4" t="s">
        <v>103</v>
      </c>
      <c r="T244" s="4" t="s">
        <v>104</v>
      </c>
    </row>
    <row r="245" ht="15.75" customHeight="1">
      <c r="A245" s="4" t="s">
        <v>724</v>
      </c>
      <c r="B245" s="4" t="s">
        <v>725</v>
      </c>
      <c r="C245" s="4" t="str">
        <f>IFERROR(__xludf.DUMMYFUNCTION("GOOGLETRANSLATE(B245, ""RO"", ""EN"")"),"What is the political formation you feel the nearest?")</f>
        <v>What is the political formation you feel the nearest?</v>
      </c>
      <c r="D245" s="5" t="str">
        <f>IFERROR(__xludf.DUMMYFUNCTION("IF(O245&lt;&gt;"""", GOOGLETRANSLATE(O245, ""RO"", ""EN""), """")"),"")</f>
        <v/>
      </c>
      <c r="E245" s="6" t="str">
        <f>IFERROR(__xludf.DUMMYFUNCTION("IF(P245&lt;&gt;"""", GOOGLETRANSLATE(P245, ""RO"", ""EN""), """")"),"")</f>
        <v/>
      </c>
      <c r="F245" s="5" t="str">
        <f>IFERROR(__xludf.DUMMYFUNCTION("IF(Q245&lt;&gt;"""", GOOGLETRANSLATE(Q245, ""RO"", ""EN""), """")"),"")</f>
        <v/>
      </c>
      <c r="G245" s="5" t="str">
        <f>IFERROR(__xludf.DUMMYFUNCTION("IF(R245&lt;&gt;"""", GOOGLETRANSLATE(R245, ""RO"", ""EN""), """")"),"")</f>
        <v/>
      </c>
      <c r="H245" s="5" t="str">
        <f>IFERROR(__xludf.DUMMYFUNCTION("IF(U245&lt;&gt;"""", GOOGLETRANSLATE(U245, ""RO"", ""EN""), """")"),"")</f>
        <v/>
      </c>
      <c r="I245" s="5" t="str">
        <f>IFERROR(__xludf.DUMMYFUNCTION("IF(V245&lt;&gt;"""", GOOGLETRANSLATE(V245, ""RO"", ""EN""), """")"),"")</f>
        <v/>
      </c>
      <c r="J245" s="5" t="str">
        <f>IFERROR(__xludf.DUMMYFUNCTION("IF(W245&lt;&gt;"""", GOOGLETRANSLATE(W245, ""RO"", ""EN""), """")"),"")</f>
        <v/>
      </c>
      <c r="K245" s="5" t="str">
        <f>IFERROR(__xludf.DUMMYFUNCTION("IF(X245&lt;&gt;"""", GOOGLETRANSLATE(X245, ""RO"", ""EN""), """")"),"")</f>
        <v/>
      </c>
      <c r="L245" s="5" t="str">
        <f>IFERROR(__xludf.DUMMYFUNCTION("IF(S245&lt;&gt;"""", GOOGLETRANSLATE(S245, ""RO"", ""EN""), """")"),"")</f>
        <v/>
      </c>
      <c r="M245" s="5" t="str">
        <f>IFERROR(__xludf.DUMMYFUNCTION("IF(T245&lt;&gt;"""", GOOGLETRANSLATE(T245, ""RO"", ""EN""), """")"),"")</f>
        <v/>
      </c>
      <c r="N245" s="5" t="str">
        <f>IFERROR(__xludf.DUMMYFUNCTION("IF(Y245&lt;&gt;"""", GOOGLETRANSLATE(Y245, ""RO"", ""EN""), """")"),"")</f>
        <v/>
      </c>
    </row>
    <row r="246" ht="15.75" customHeight="1">
      <c r="A246" s="4" t="s">
        <v>726</v>
      </c>
      <c r="B246" s="4" t="s">
        <v>727</v>
      </c>
      <c r="C246" s="4" t="str">
        <f>IFERROR(__xludf.DUMMYFUNCTION("GOOGLETRANSLATE(B246, ""RO"", ""EN"")"),"How close do you feel about this political formation?")</f>
        <v>How close do you feel about this political formation?</v>
      </c>
      <c r="D246" s="5" t="str">
        <f>IFERROR(__xludf.DUMMYFUNCTION("IF(O246&lt;&gt;"""", GOOGLETRANSLATE(O246, ""RO"", ""EN""), """")"),"")</f>
        <v/>
      </c>
      <c r="E246" s="6" t="str">
        <f>IFERROR(__xludf.DUMMYFUNCTION("IF(P246&lt;&gt;"""", GOOGLETRANSLATE(P246, ""RO"", ""EN""), """")"),"Very close")</f>
        <v>Very close</v>
      </c>
      <c r="F246" s="5" t="str">
        <f>IFERROR(__xludf.DUMMYFUNCTION("IF(Q246&lt;&gt;"""", GOOGLETRANSLATE(Q246, ""RO"", ""EN""), """")"),"Somewhat close")</f>
        <v>Somewhat close</v>
      </c>
      <c r="G246" s="5" t="str">
        <f>IFERROR(__xludf.DUMMYFUNCTION("IF(R246&lt;&gt;"""", GOOGLETRANSLATE(R246, ""RO"", ""EN""), """")"),"Not very close")</f>
        <v>Not very close</v>
      </c>
      <c r="H246" s="5" t="str">
        <f>IFERROR(__xludf.DUMMYFUNCTION("IF(U246&lt;&gt;"""", GOOGLETRANSLATE(U246, ""RO"", ""EN""), """")"),"")</f>
        <v/>
      </c>
      <c r="I246" s="5" t="str">
        <f>IFERROR(__xludf.DUMMYFUNCTION("IF(V246&lt;&gt;"""", GOOGLETRANSLATE(V246, ""RO"", ""EN""), """")"),"")</f>
        <v/>
      </c>
      <c r="J246" s="5" t="str">
        <f>IFERROR(__xludf.DUMMYFUNCTION("IF(W246&lt;&gt;"""", GOOGLETRANSLATE(W246, ""RO"", ""EN""), """")"),"")</f>
        <v/>
      </c>
      <c r="K246" s="5" t="str">
        <f>IFERROR(__xludf.DUMMYFUNCTION("IF(X246&lt;&gt;"""", GOOGLETRANSLATE(X246, ""RO"", ""EN""), """")"),"")</f>
        <v/>
      </c>
      <c r="L246" s="5" t="str">
        <f>IFERROR(__xludf.DUMMYFUNCTION("IF(S246&lt;&gt;"""", GOOGLETRANSLATE(S246, ""RO"", ""EN""), """")"),"Ns")</f>
        <v>Ns</v>
      </c>
      <c r="M246" s="5" t="str">
        <f>IFERROR(__xludf.DUMMYFUNCTION("IF(T246&lt;&gt;"""", GOOGLETRANSLATE(T246, ""RO"", ""EN""), """")"),"No.")</f>
        <v>No.</v>
      </c>
      <c r="N246" s="5" t="str">
        <f>IFERROR(__xludf.DUMMYFUNCTION("IF(Y246&lt;&gt;"""", GOOGLETRANSLATE(Y246, ""RO"", ""EN""), """")"),"")</f>
        <v/>
      </c>
      <c r="P246" s="4" t="s">
        <v>728</v>
      </c>
      <c r="Q246" s="4" t="s">
        <v>729</v>
      </c>
      <c r="R246" s="4" t="s">
        <v>730</v>
      </c>
      <c r="S246" s="4" t="s">
        <v>103</v>
      </c>
      <c r="T246" s="4" t="s">
        <v>104</v>
      </c>
    </row>
    <row r="247" ht="15.75" customHeight="1">
      <c r="A247" s="4" t="s">
        <v>731</v>
      </c>
      <c r="B247" s="4" t="s">
        <v>732</v>
      </c>
      <c r="C247" s="4" t="str">
        <f>IFERROR(__xludf.DUMMYFUNCTION("GOOGLETRANSLATE(B247, ""RO"", ""EN"")"),"The genre of the respondent")</f>
        <v>The genre of the respondent</v>
      </c>
      <c r="D247" s="5" t="str">
        <f>IFERROR(__xludf.DUMMYFUNCTION("IF(O247&lt;&gt;"""", GOOGLETRANSLATE(O247, ""RO"", ""EN""), """")"),"")</f>
        <v/>
      </c>
      <c r="E247" s="6" t="str">
        <f>IFERROR(__xludf.DUMMYFUNCTION("IF(P247&lt;&gt;"""", GOOGLETRANSLATE(P247, ""RO"", ""EN""), """")"),"Man")</f>
        <v>Man</v>
      </c>
      <c r="F247" s="5" t="str">
        <f>IFERROR(__xludf.DUMMYFUNCTION("IF(Q247&lt;&gt;"""", GOOGLETRANSLATE(Q247, ""RO"", ""EN""), """")"),"Woman")</f>
        <v>Woman</v>
      </c>
      <c r="G247" s="5" t="str">
        <f>IFERROR(__xludf.DUMMYFUNCTION("IF(R247&lt;&gt;"""", GOOGLETRANSLATE(R247, ""RO"", ""EN""), """")"),"")</f>
        <v/>
      </c>
      <c r="H247" s="5" t="str">
        <f>IFERROR(__xludf.DUMMYFUNCTION("IF(U247&lt;&gt;"""", GOOGLETRANSLATE(U247, ""RO"", ""EN""), """")"),"")</f>
        <v/>
      </c>
      <c r="I247" s="5" t="str">
        <f>IFERROR(__xludf.DUMMYFUNCTION("IF(V247&lt;&gt;"""", GOOGLETRANSLATE(V247, ""RO"", ""EN""), """")"),"")</f>
        <v/>
      </c>
      <c r="J247" s="5" t="str">
        <f>IFERROR(__xludf.DUMMYFUNCTION("IF(W247&lt;&gt;"""", GOOGLETRANSLATE(W247, ""RO"", ""EN""), """")"),"")</f>
        <v/>
      </c>
      <c r="K247" s="5" t="str">
        <f>IFERROR(__xludf.DUMMYFUNCTION("IF(X247&lt;&gt;"""", GOOGLETRANSLATE(X247, ""RO"", ""EN""), """")"),"")</f>
        <v/>
      </c>
      <c r="L247" s="5" t="str">
        <f>IFERROR(__xludf.DUMMYFUNCTION("IF(S247&lt;&gt;"""", GOOGLETRANSLATE(S247, ""RO"", ""EN""), """")"),"")</f>
        <v/>
      </c>
      <c r="M247" s="5" t="str">
        <f>IFERROR(__xludf.DUMMYFUNCTION("IF(T247&lt;&gt;"""", GOOGLETRANSLATE(T247, ""RO"", ""EN""), """")"),"")</f>
        <v/>
      </c>
      <c r="N247" s="5" t="str">
        <f>IFERROR(__xludf.DUMMYFUNCTION("IF(Y247&lt;&gt;"""", GOOGLETRANSLATE(Y247, ""RO"", ""EN""), """")"),"")</f>
        <v/>
      </c>
      <c r="P247" s="4" t="s">
        <v>733</v>
      </c>
      <c r="Q247" s="4" t="s">
        <v>734</v>
      </c>
    </row>
    <row r="248" ht="15.75" customHeight="1">
      <c r="A248" s="4" t="s">
        <v>735</v>
      </c>
      <c r="B248" s="4" t="s">
        <v>736</v>
      </c>
      <c r="C248" s="4" t="str">
        <f>IFERROR(__xludf.DUMMYFUNCTION("GOOGLETRANSLATE(B248, ""RO"", ""EN"")"),"Year full birth")</f>
        <v>Year full birth</v>
      </c>
      <c r="D248" s="5" t="str">
        <f>IFERROR(__xludf.DUMMYFUNCTION("IF(O248&lt;&gt;"""", GOOGLETRANSLATE(O248, ""RO"", ""EN""), """")"),"")</f>
        <v/>
      </c>
      <c r="E248" s="6" t="str">
        <f>IFERROR(__xludf.DUMMYFUNCTION("IF(P248&lt;&gt;"""", GOOGLETRANSLATE(P248, ""RO"", ""EN""), """")"),"")</f>
        <v/>
      </c>
      <c r="F248" s="5" t="str">
        <f>IFERROR(__xludf.DUMMYFUNCTION("IF(Q248&lt;&gt;"""", GOOGLETRANSLATE(Q248, ""RO"", ""EN""), """")"),"")</f>
        <v/>
      </c>
      <c r="G248" s="5" t="str">
        <f>IFERROR(__xludf.DUMMYFUNCTION("IF(R248&lt;&gt;"""", GOOGLETRANSLATE(R248, ""RO"", ""EN""), """")"),"")</f>
        <v/>
      </c>
      <c r="H248" s="5" t="str">
        <f>IFERROR(__xludf.DUMMYFUNCTION("IF(U248&lt;&gt;"""", GOOGLETRANSLATE(U248, ""RO"", ""EN""), """")"),"")</f>
        <v/>
      </c>
      <c r="I248" s="5" t="str">
        <f>IFERROR(__xludf.DUMMYFUNCTION("IF(V248&lt;&gt;"""", GOOGLETRANSLATE(V248, ""RO"", ""EN""), """")"),"")</f>
        <v/>
      </c>
      <c r="J248" s="5" t="str">
        <f>IFERROR(__xludf.DUMMYFUNCTION("IF(W248&lt;&gt;"""", GOOGLETRANSLATE(W248, ""RO"", ""EN""), """")"),"")</f>
        <v/>
      </c>
      <c r="K248" s="5" t="str">
        <f>IFERROR(__xludf.DUMMYFUNCTION("IF(X248&lt;&gt;"""", GOOGLETRANSLATE(X248, ""RO"", ""EN""), """")"),"")</f>
        <v/>
      </c>
      <c r="L248" s="5" t="str">
        <f>IFERROR(__xludf.DUMMYFUNCTION("IF(S248&lt;&gt;"""", GOOGLETRANSLATE(S248, ""RO"", ""EN""), """")"),"")</f>
        <v/>
      </c>
      <c r="M248" s="5" t="str">
        <f>IFERROR(__xludf.DUMMYFUNCTION("IF(T248&lt;&gt;"""", GOOGLETRANSLATE(T248, ""RO"", ""EN""), """")"),"")</f>
        <v/>
      </c>
      <c r="N248" s="5" t="str">
        <f>IFERROR(__xludf.DUMMYFUNCTION("IF(Y248&lt;&gt;"""", GOOGLETRANSLATE(Y248, ""RO"", ""EN""), """")"),"")</f>
        <v/>
      </c>
    </row>
    <row r="249" ht="15.75" customHeight="1">
      <c r="A249" s="4" t="s">
        <v>737</v>
      </c>
      <c r="B249" s="4" t="s">
        <v>738</v>
      </c>
      <c r="C249" s="4" t="str">
        <f>IFERROR(__xludf.DUMMYFUNCTION("GOOGLETRANSLATE(B249, ""RO"", ""EN"")"),"Age")</f>
        <v>Age</v>
      </c>
      <c r="D249" s="5" t="str">
        <f>IFERROR(__xludf.DUMMYFUNCTION("IF(O249&lt;&gt;"""", GOOGLETRANSLATE(O249, ""RO"", ""EN""), """")"),"")</f>
        <v/>
      </c>
      <c r="E249" s="6" t="str">
        <f>IFERROR(__xludf.DUMMYFUNCTION("IF(P249&lt;&gt;"""", GOOGLETRANSLATE(P249, ""RO"", ""EN""), """")"),"")</f>
        <v/>
      </c>
      <c r="F249" s="5" t="str">
        <f>IFERROR(__xludf.DUMMYFUNCTION("IF(Q249&lt;&gt;"""", GOOGLETRANSLATE(Q249, ""RO"", ""EN""), """")"),"")</f>
        <v/>
      </c>
      <c r="G249" s="5" t="str">
        <f>IFERROR(__xludf.DUMMYFUNCTION("IF(R249&lt;&gt;"""", GOOGLETRANSLATE(R249, ""RO"", ""EN""), """")"),"")</f>
        <v/>
      </c>
      <c r="H249" s="5" t="str">
        <f>IFERROR(__xludf.DUMMYFUNCTION("IF(U249&lt;&gt;"""", GOOGLETRANSLATE(U249, ""RO"", ""EN""), """")"),"")</f>
        <v/>
      </c>
      <c r="I249" s="5" t="str">
        <f>IFERROR(__xludf.DUMMYFUNCTION("IF(V249&lt;&gt;"""", GOOGLETRANSLATE(V249, ""RO"", ""EN""), """")"),"")</f>
        <v/>
      </c>
      <c r="J249" s="5" t="str">
        <f>IFERROR(__xludf.DUMMYFUNCTION("IF(W249&lt;&gt;"""", GOOGLETRANSLATE(W249, ""RO"", ""EN""), """")"),"")</f>
        <v/>
      </c>
      <c r="K249" s="5" t="str">
        <f>IFERROR(__xludf.DUMMYFUNCTION("IF(X249&lt;&gt;"""", GOOGLETRANSLATE(X249, ""RO"", ""EN""), """")"),"")</f>
        <v/>
      </c>
      <c r="L249" s="5" t="str">
        <f>IFERROR(__xludf.DUMMYFUNCTION("IF(S249&lt;&gt;"""", GOOGLETRANSLATE(S249, ""RO"", ""EN""), """")"),"")</f>
        <v/>
      </c>
      <c r="M249" s="5" t="str">
        <f>IFERROR(__xludf.DUMMYFUNCTION("IF(T249&lt;&gt;"""", GOOGLETRANSLATE(T249, ""RO"", ""EN""), """")"),"")</f>
        <v/>
      </c>
      <c r="N249" s="5" t="str">
        <f>IFERROR(__xludf.DUMMYFUNCTION("IF(Y249&lt;&gt;"""", GOOGLETRANSLATE(Y249, ""RO"", ""EN""), """")"),"")</f>
        <v/>
      </c>
      <c r="AB249" s="4" t="s">
        <v>739</v>
      </c>
    </row>
    <row r="250" ht="15.75" customHeight="1">
      <c r="A250" s="4" t="s">
        <v>740</v>
      </c>
      <c r="B250" s="4" t="s">
        <v>741</v>
      </c>
      <c r="C250" s="4" t="str">
        <f>IFERROR(__xludf.DUMMYFUNCTION("GOOGLETRANSLATE(B250, ""RO"", ""EN"")"),"What is the highest level of education achieved by you?")</f>
        <v>What is the highest level of education achieved by you?</v>
      </c>
      <c r="D250" s="5" t="str">
        <f>IFERROR(__xludf.DUMMYFUNCTION("IF(O250&lt;&gt;"""", GOOGLETRANSLATE(O250, ""RO"", ""EN""), """")"),"")</f>
        <v/>
      </c>
      <c r="E250" s="6" t="str">
        <f>IFERROR(__xludf.DUMMYFUNCTION("IF(P250&lt;&gt;"""", GOOGLETRANSLATE(P250, ""RO"", ""EN""), """")"),"without school")</f>
        <v>without school</v>
      </c>
      <c r="F250" s="5" t="str">
        <f>IFERROR(__xludf.DUMMYFUNCTION("IF(Q250&lt;&gt;"""", GOOGLETRANSLATE(Q250, ""RO"", ""EN""), """")"),"unfinished primary school")</f>
        <v>unfinished primary school</v>
      </c>
      <c r="G250" s="5" t="str">
        <f>IFERROR(__xludf.DUMMYFUNCTION("IF(R250&lt;&gt;"""", GOOGLETRANSLATE(R250, ""RO"", ""EN""), """")"),"the finished primary school")</f>
        <v>the finished primary school</v>
      </c>
      <c r="H250" s="5" t="str">
        <f>IFERROR(__xludf.DUMMYFUNCTION("IF(U250&lt;&gt;"""", GOOGLETRANSLATE(U250, ""RO"", ""EN""), """")"),"incomplete gymnasium")</f>
        <v>incomplete gymnasium</v>
      </c>
      <c r="I250" s="5" t="str">
        <f>IFERROR(__xludf.DUMMYFUNCTION("IF(V250&lt;&gt;"""", GOOGLETRANSLATE(V250, ""RO"", ""EN""), """")"),"complete gymnasium")</f>
        <v>complete gymnasium</v>
      </c>
      <c r="J250" s="5" t="str">
        <f>IFERROR(__xludf.DUMMYFUNCTION("IF(W250&lt;&gt;"""", GOOGLETRANSLATE(W250, ""RO"", ""EN""), """")"),"School of apprentices (complementary)")</f>
        <v>School of apprentices (complementary)</v>
      </c>
      <c r="K250" s="5" t="str">
        <f>IFERROR(__xludf.DUMMYFUNCTION("IF(X250&lt;&gt;"""", GOOGLETRANSLATE(X250, ""RO"", ""EN""), """")"),"vocational school")</f>
        <v>vocational school</v>
      </c>
      <c r="L250" s="5" t="str">
        <f>IFERROR(__xludf.DUMMYFUNCTION("IF(S250&lt;&gt;"""", GOOGLETRANSLATE(S250, ""RO"", ""EN""), """")"),"unfinished high school")</f>
        <v>unfinished high school</v>
      </c>
      <c r="M250" s="5" t="str">
        <f>IFERROR(__xludf.DUMMYFUNCTION("IF(T250&lt;&gt;"""", GOOGLETRANSLATE(T250, ""RO"", ""EN""), """")"),"Finished high school")</f>
        <v>Finished high school</v>
      </c>
      <c r="N250" s="5" t="str">
        <f>IFERROR(__xludf.DUMMYFUNCTION("IF(Y250&lt;&gt;"""", GOOGLETRANSLATE(Y250, ""RO"", ""EN""), """")"),"post secondary school")</f>
        <v>post secondary school</v>
      </c>
      <c r="P250" s="4" t="s">
        <v>742</v>
      </c>
      <c r="Q250" s="4" t="s">
        <v>743</v>
      </c>
      <c r="R250" s="4" t="s">
        <v>744</v>
      </c>
      <c r="S250" s="4" t="s">
        <v>745</v>
      </c>
      <c r="T250" s="4" t="s">
        <v>746</v>
      </c>
      <c r="U250" s="4" t="s">
        <v>747</v>
      </c>
      <c r="V250" s="4" t="s">
        <v>748</v>
      </c>
      <c r="W250" s="4" t="s">
        <v>749</v>
      </c>
      <c r="X250" s="4" t="s">
        <v>750</v>
      </c>
      <c r="Y250" s="4" t="s">
        <v>751</v>
      </c>
      <c r="AA250" s="4" t="s">
        <v>103</v>
      </c>
      <c r="AB250" s="4" t="s">
        <v>104</v>
      </c>
      <c r="AH250" s="4" t="s">
        <v>752</v>
      </c>
      <c r="AI250" s="4" t="s">
        <v>753</v>
      </c>
      <c r="AJ250" s="4" t="s">
        <v>754</v>
      </c>
      <c r="AK250" s="4" t="s">
        <v>755</v>
      </c>
      <c r="AL250" s="4" t="s">
        <v>756</v>
      </c>
    </row>
    <row r="251" ht="15.75" customHeight="1">
      <c r="A251" s="4" t="s">
        <v>757</v>
      </c>
      <c r="B251" s="4" t="s">
        <v>758</v>
      </c>
      <c r="C251" s="4" t="str">
        <f>IFERROR(__xludf.DUMMYFUNCTION("GOOGLETRANSLATE(B251, ""RO"", ""EN"")"),"What is the total number of years of school graduated from you?")</f>
        <v>What is the total number of years of school graduated from you?</v>
      </c>
      <c r="D251" s="5" t="str">
        <f>IFERROR(__xludf.DUMMYFUNCTION("IF(O251&lt;&gt;"""", GOOGLETRANSLATE(O251, ""RO"", ""EN""), """")"),"")</f>
        <v/>
      </c>
      <c r="E251" s="6" t="str">
        <f>IFERROR(__xludf.DUMMYFUNCTION("IF(P251&lt;&gt;"""", GOOGLETRANSLATE(P251, ""RO"", ""EN""), """")"),"")</f>
        <v/>
      </c>
      <c r="F251" s="5" t="str">
        <f>IFERROR(__xludf.DUMMYFUNCTION("IF(Q251&lt;&gt;"""", GOOGLETRANSLATE(Q251, ""RO"", ""EN""), """")"),"")</f>
        <v/>
      </c>
      <c r="G251" s="5" t="str">
        <f>IFERROR(__xludf.DUMMYFUNCTION("IF(R251&lt;&gt;"""", GOOGLETRANSLATE(R251, ""RO"", ""EN""), """")"),"")</f>
        <v/>
      </c>
      <c r="H251" s="5" t="str">
        <f>IFERROR(__xludf.DUMMYFUNCTION("IF(U251&lt;&gt;"""", GOOGLETRANSLATE(U251, ""RO"", ""EN""), """")"),"")</f>
        <v/>
      </c>
      <c r="I251" s="5" t="str">
        <f>IFERROR(__xludf.DUMMYFUNCTION("IF(V251&lt;&gt;"""", GOOGLETRANSLATE(V251, ""RO"", ""EN""), """")"),"")</f>
        <v/>
      </c>
      <c r="J251" s="5" t="str">
        <f>IFERROR(__xludf.DUMMYFUNCTION("IF(W251&lt;&gt;"""", GOOGLETRANSLATE(W251, ""RO"", ""EN""), """")"),"")</f>
        <v/>
      </c>
      <c r="K251" s="5" t="str">
        <f>IFERROR(__xludf.DUMMYFUNCTION("IF(X251&lt;&gt;"""", GOOGLETRANSLATE(X251, ""RO"", ""EN""), """")"),"")</f>
        <v/>
      </c>
      <c r="L251" s="5" t="str">
        <f>IFERROR(__xludf.DUMMYFUNCTION("IF(S251&lt;&gt;"""", GOOGLETRANSLATE(S251, ""RO"", ""EN""), """")"),"")</f>
        <v/>
      </c>
      <c r="M251" s="5" t="str">
        <f>IFERROR(__xludf.DUMMYFUNCTION("IF(T251&lt;&gt;"""", GOOGLETRANSLATE(T251, ""RO"", ""EN""), """")"),"")</f>
        <v/>
      </c>
      <c r="N251" s="5" t="str">
        <f>IFERROR(__xludf.DUMMYFUNCTION("IF(Y251&lt;&gt;"""", GOOGLETRANSLATE(Y251, ""RO"", ""EN""), """")"),"")</f>
        <v/>
      </c>
    </row>
    <row r="252" ht="15.75" customHeight="1">
      <c r="A252" s="4" t="s">
        <v>759</v>
      </c>
      <c r="B252" s="4" t="s">
        <v>760</v>
      </c>
      <c r="C252" s="4" t="str">
        <f>IFERROR(__xludf.DUMMYFUNCTION("GOOGLETRANSLATE(B252, ""RO"", ""EN"")"),"Currently, which of the following correspond to your occupational situation? Are you ...? Employee full -time (30 hours per week or more)")</f>
        <v>Currently, which of the following correspond to your occupational situation? Are you ...? Employee full -time (30 hours per week or more)</v>
      </c>
      <c r="D252" s="5" t="str">
        <f>IFERROR(__xludf.DUMMYFUNCTION("IF(O252&lt;&gt;"""", GOOGLETRANSLATE(O252, ""RO"", ""EN""), """")"),"")</f>
        <v/>
      </c>
      <c r="E252" s="6" t="str">
        <f>IFERROR(__xludf.DUMMYFUNCTION("IF(P252&lt;&gt;"""", GOOGLETRANSLATE(P252, ""RO"", ""EN""), """")"),"Yes")</f>
        <v>Yes</v>
      </c>
      <c r="F252" s="5" t="str">
        <f>IFERROR(__xludf.DUMMYFUNCTION("IF(Q252&lt;&gt;"""", GOOGLETRANSLATE(Q252, ""RO"", ""EN""), """")"),"Not")</f>
        <v>Not</v>
      </c>
      <c r="G252" s="5" t="str">
        <f>IFERROR(__xludf.DUMMYFUNCTION("IF(R252&lt;&gt;"""", GOOGLETRANSLATE(R252, ""RO"", ""EN""), """")"),"")</f>
        <v/>
      </c>
      <c r="H252" s="5" t="str">
        <f>IFERROR(__xludf.DUMMYFUNCTION("IF(U252&lt;&gt;"""", GOOGLETRANSLATE(U252, ""RO"", ""EN""), """")"),"")</f>
        <v/>
      </c>
      <c r="I252" s="5" t="str">
        <f>IFERROR(__xludf.DUMMYFUNCTION("IF(V252&lt;&gt;"""", GOOGLETRANSLATE(V252, ""RO"", ""EN""), """")"),"")</f>
        <v/>
      </c>
      <c r="J252" s="5" t="str">
        <f>IFERROR(__xludf.DUMMYFUNCTION("IF(W252&lt;&gt;"""", GOOGLETRANSLATE(W252, ""RO"", ""EN""), """")"),"")</f>
        <v/>
      </c>
      <c r="K252" s="5" t="str">
        <f>IFERROR(__xludf.DUMMYFUNCTION("IF(X252&lt;&gt;"""", GOOGLETRANSLATE(X252, ""RO"", ""EN""), """")"),"")</f>
        <v/>
      </c>
      <c r="L252" s="5" t="str">
        <f>IFERROR(__xludf.DUMMYFUNCTION("IF(S252&lt;&gt;"""", GOOGLETRANSLATE(S252, ""RO"", ""EN""), """")"),"Ns")</f>
        <v>Ns</v>
      </c>
      <c r="M252" s="5" t="str">
        <f>IFERROR(__xludf.DUMMYFUNCTION("IF(T252&lt;&gt;"""", GOOGLETRANSLATE(T252, ""RO"", ""EN""), """")"),"No.")</f>
        <v>No.</v>
      </c>
      <c r="N252" s="5" t="str">
        <f>IFERROR(__xludf.DUMMYFUNCTION("IF(Y252&lt;&gt;"""", GOOGLETRANSLATE(Y252, ""RO"", ""EN""), """")"),"")</f>
        <v/>
      </c>
      <c r="P252" s="4" t="s">
        <v>639</v>
      </c>
      <c r="Q252" s="4" t="s">
        <v>640</v>
      </c>
      <c r="S252" s="4" t="s">
        <v>103</v>
      </c>
      <c r="T252" s="4" t="s">
        <v>104</v>
      </c>
    </row>
    <row r="253" ht="15.75" customHeight="1">
      <c r="A253" s="4" t="s">
        <v>761</v>
      </c>
      <c r="B253" s="4" t="s">
        <v>762</v>
      </c>
      <c r="C253" s="4" t="str">
        <f>IFERROR(__xludf.DUMMYFUNCTION("GOOGLETRANSLATE(B253, ""RO"", ""EN"")"),"Employed with partial norm (less than 30 hours a week)")</f>
        <v>Employed with partial norm (less than 30 hours a week)</v>
      </c>
      <c r="D253" s="5" t="str">
        <f>IFERROR(__xludf.DUMMYFUNCTION("IF(O253&lt;&gt;"""", GOOGLETRANSLATE(O253, ""RO"", ""EN""), """")"),"")</f>
        <v/>
      </c>
      <c r="E253" s="6" t="str">
        <f>IFERROR(__xludf.DUMMYFUNCTION("IF(P253&lt;&gt;"""", GOOGLETRANSLATE(P253, ""RO"", ""EN""), """")"),"Yes")</f>
        <v>Yes</v>
      </c>
      <c r="F253" s="5" t="str">
        <f>IFERROR(__xludf.DUMMYFUNCTION("IF(Q253&lt;&gt;"""", GOOGLETRANSLATE(Q253, ""RO"", ""EN""), """")"),"Not")</f>
        <v>Not</v>
      </c>
      <c r="G253" s="5" t="str">
        <f>IFERROR(__xludf.DUMMYFUNCTION("IF(R253&lt;&gt;"""", GOOGLETRANSLATE(R253, ""RO"", ""EN""), """")"),"")</f>
        <v/>
      </c>
      <c r="H253" s="5" t="str">
        <f>IFERROR(__xludf.DUMMYFUNCTION("IF(U253&lt;&gt;"""", GOOGLETRANSLATE(U253, ""RO"", ""EN""), """")"),"")</f>
        <v/>
      </c>
      <c r="I253" s="5" t="str">
        <f>IFERROR(__xludf.DUMMYFUNCTION("IF(V253&lt;&gt;"""", GOOGLETRANSLATE(V253, ""RO"", ""EN""), """")"),"")</f>
        <v/>
      </c>
      <c r="J253" s="5" t="str">
        <f>IFERROR(__xludf.DUMMYFUNCTION("IF(W253&lt;&gt;"""", GOOGLETRANSLATE(W253, ""RO"", ""EN""), """")"),"")</f>
        <v/>
      </c>
      <c r="K253" s="5" t="str">
        <f>IFERROR(__xludf.DUMMYFUNCTION("IF(X253&lt;&gt;"""", GOOGLETRANSLATE(X253, ""RO"", ""EN""), """")"),"")</f>
        <v/>
      </c>
      <c r="L253" s="5" t="str">
        <f>IFERROR(__xludf.DUMMYFUNCTION("IF(S253&lt;&gt;"""", GOOGLETRANSLATE(S253, ""RO"", ""EN""), """")"),"Ns")</f>
        <v>Ns</v>
      </c>
      <c r="M253" s="5" t="str">
        <f>IFERROR(__xludf.DUMMYFUNCTION("IF(T253&lt;&gt;"""", GOOGLETRANSLATE(T253, ""RO"", ""EN""), """")"),"No.")</f>
        <v>No.</v>
      </c>
      <c r="N253" s="5" t="str">
        <f>IFERROR(__xludf.DUMMYFUNCTION("IF(Y253&lt;&gt;"""", GOOGLETRANSLATE(Y253, ""RO"", ""EN""), """")"),"")</f>
        <v/>
      </c>
      <c r="P253" s="4" t="s">
        <v>639</v>
      </c>
      <c r="Q253" s="4" t="s">
        <v>640</v>
      </c>
      <c r="S253" s="4" t="s">
        <v>103</v>
      </c>
      <c r="T253" s="4" t="s">
        <v>104</v>
      </c>
    </row>
    <row r="254" ht="15.75" customHeight="1">
      <c r="A254" s="4" t="s">
        <v>763</v>
      </c>
      <c r="B254" s="4" t="s">
        <v>764</v>
      </c>
      <c r="C254" s="4" t="str">
        <f>IFERROR(__xludf.DUMMYFUNCTION("GOOGLETRANSLATE(B254, ""RO"", ""EN"")"),"in unemployment (including technical unemployment)")</f>
        <v>in unemployment (including technical unemployment)</v>
      </c>
      <c r="D254" s="5" t="str">
        <f>IFERROR(__xludf.DUMMYFUNCTION("IF(O254&lt;&gt;"""", GOOGLETRANSLATE(O254, ""RO"", ""EN""), """")"),"")</f>
        <v/>
      </c>
      <c r="E254" s="6" t="str">
        <f>IFERROR(__xludf.DUMMYFUNCTION("IF(P254&lt;&gt;"""", GOOGLETRANSLATE(P254, ""RO"", ""EN""), """")"),"Yes")</f>
        <v>Yes</v>
      </c>
      <c r="F254" s="5" t="str">
        <f>IFERROR(__xludf.DUMMYFUNCTION("IF(Q254&lt;&gt;"""", GOOGLETRANSLATE(Q254, ""RO"", ""EN""), """")"),"Not")</f>
        <v>Not</v>
      </c>
      <c r="G254" s="5" t="str">
        <f>IFERROR(__xludf.DUMMYFUNCTION("IF(R254&lt;&gt;"""", GOOGLETRANSLATE(R254, ""RO"", ""EN""), """")"),"")</f>
        <v/>
      </c>
      <c r="H254" s="5" t="str">
        <f>IFERROR(__xludf.DUMMYFUNCTION("IF(U254&lt;&gt;"""", GOOGLETRANSLATE(U254, ""RO"", ""EN""), """")"),"")</f>
        <v/>
      </c>
      <c r="I254" s="5" t="str">
        <f>IFERROR(__xludf.DUMMYFUNCTION("IF(V254&lt;&gt;"""", GOOGLETRANSLATE(V254, ""RO"", ""EN""), """")"),"")</f>
        <v/>
      </c>
      <c r="J254" s="5" t="str">
        <f>IFERROR(__xludf.DUMMYFUNCTION("IF(W254&lt;&gt;"""", GOOGLETRANSLATE(W254, ""RO"", ""EN""), """")"),"")</f>
        <v/>
      </c>
      <c r="K254" s="5" t="str">
        <f>IFERROR(__xludf.DUMMYFUNCTION("IF(X254&lt;&gt;"""", GOOGLETRANSLATE(X254, ""RO"", ""EN""), """")"),"")</f>
        <v/>
      </c>
      <c r="L254" s="5" t="str">
        <f>IFERROR(__xludf.DUMMYFUNCTION("IF(S254&lt;&gt;"""", GOOGLETRANSLATE(S254, ""RO"", ""EN""), """")"),"Ns")</f>
        <v>Ns</v>
      </c>
      <c r="M254" s="5" t="str">
        <f>IFERROR(__xludf.DUMMYFUNCTION("IF(T254&lt;&gt;"""", GOOGLETRANSLATE(T254, ""RO"", ""EN""), """")"),"No.")</f>
        <v>No.</v>
      </c>
      <c r="N254" s="5" t="str">
        <f>IFERROR(__xludf.DUMMYFUNCTION("IF(Y254&lt;&gt;"""", GOOGLETRANSLATE(Y254, ""RO"", ""EN""), """")"),"")</f>
        <v/>
      </c>
      <c r="P254" s="4" t="s">
        <v>639</v>
      </c>
      <c r="Q254" s="4" t="s">
        <v>640</v>
      </c>
      <c r="S254" s="4" t="s">
        <v>103</v>
      </c>
      <c r="T254" s="4" t="s">
        <v>104</v>
      </c>
    </row>
    <row r="255" ht="15.75" customHeight="1">
      <c r="A255" s="4" t="s">
        <v>765</v>
      </c>
      <c r="B255" s="4" t="s">
        <v>766</v>
      </c>
      <c r="C255" s="4" t="str">
        <f>IFERROR(__xludf.DUMMYFUNCTION("GOOGLETRANSLATE(B255, ""RO"", ""EN"")"),"student/student")</f>
        <v>student/student</v>
      </c>
      <c r="D255" s="5" t="str">
        <f>IFERROR(__xludf.DUMMYFUNCTION("IF(O255&lt;&gt;"""", GOOGLETRANSLATE(O255, ""RO"", ""EN""), """")"),"")</f>
        <v/>
      </c>
      <c r="E255" s="6" t="str">
        <f>IFERROR(__xludf.DUMMYFUNCTION("IF(P255&lt;&gt;"""", GOOGLETRANSLATE(P255, ""RO"", ""EN""), """")"),"Yes")</f>
        <v>Yes</v>
      </c>
      <c r="F255" s="5" t="str">
        <f>IFERROR(__xludf.DUMMYFUNCTION("IF(Q255&lt;&gt;"""", GOOGLETRANSLATE(Q255, ""RO"", ""EN""), """")"),"Not")</f>
        <v>Not</v>
      </c>
      <c r="G255" s="5" t="str">
        <f>IFERROR(__xludf.DUMMYFUNCTION("IF(R255&lt;&gt;"""", GOOGLETRANSLATE(R255, ""RO"", ""EN""), """")"),"")</f>
        <v/>
      </c>
      <c r="H255" s="5" t="str">
        <f>IFERROR(__xludf.DUMMYFUNCTION("IF(U255&lt;&gt;"""", GOOGLETRANSLATE(U255, ""RO"", ""EN""), """")"),"")</f>
        <v/>
      </c>
      <c r="I255" s="5" t="str">
        <f>IFERROR(__xludf.DUMMYFUNCTION("IF(V255&lt;&gt;"""", GOOGLETRANSLATE(V255, ""RO"", ""EN""), """")"),"")</f>
        <v/>
      </c>
      <c r="J255" s="5" t="str">
        <f>IFERROR(__xludf.DUMMYFUNCTION("IF(W255&lt;&gt;"""", GOOGLETRANSLATE(W255, ""RO"", ""EN""), """")"),"")</f>
        <v/>
      </c>
      <c r="K255" s="5" t="str">
        <f>IFERROR(__xludf.DUMMYFUNCTION("IF(X255&lt;&gt;"""", GOOGLETRANSLATE(X255, ""RO"", ""EN""), """")"),"")</f>
        <v/>
      </c>
      <c r="L255" s="5" t="str">
        <f>IFERROR(__xludf.DUMMYFUNCTION("IF(S255&lt;&gt;"""", GOOGLETRANSLATE(S255, ""RO"", ""EN""), """")"),"Ns")</f>
        <v>Ns</v>
      </c>
      <c r="M255" s="5" t="str">
        <f>IFERROR(__xludf.DUMMYFUNCTION("IF(T255&lt;&gt;"""", GOOGLETRANSLATE(T255, ""RO"", ""EN""), """")"),"No.")</f>
        <v>No.</v>
      </c>
      <c r="N255" s="5" t="str">
        <f>IFERROR(__xludf.DUMMYFUNCTION("IF(Y255&lt;&gt;"""", GOOGLETRANSLATE(Y255, ""RO"", ""EN""), """")"),"")</f>
        <v/>
      </c>
      <c r="P255" s="4" t="s">
        <v>639</v>
      </c>
      <c r="Q255" s="4" t="s">
        <v>640</v>
      </c>
      <c r="S255" s="4" t="s">
        <v>103</v>
      </c>
      <c r="T255" s="4" t="s">
        <v>104</v>
      </c>
    </row>
    <row r="256" ht="15.75" customHeight="1">
      <c r="A256" s="4" t="s">
        <v>767</v>
      </c>
      <c r="B256" s="4" t="s">
        <v>768</v>
      </c>
      <c r="C256" s="4" t="str">
        <f>IFERROR(__xludf.DUMMYFUNCTION("GOOGLETRANSLATE(B256, ""RO"", ""EN"")"),"pensioner/unable to work")</f>
        <v>pensioner/unable to work</v>
      </c>
      <c r="D256" s="5" t="str">
        <f>IFERROR(__xludf.DUMMYFUNCTION("IF(O256&lt;&gt;"""", GOOGLETRANSLATE(O256, ""RO"", ""EN""), """")"),"")</f>
        <v/>
      </c>
      <c r="E256" s="6" t="str">
        <f>IFERROR(__xludf.DUMMYFUNCTION("IF(P256&lt;&gt;"""", GOOGLETRANSLATE(P256, ""RO"", ""EN""), """")"),"Yes")</f>
        <v>Yes</v>
      </c>
      <c r="F256" s="5" t="str">
        <f>IFERROR(__xludf.DUMMYFUNCTION("IF(Q256&lt;&gt;"""", GOOGLETRANSLATE(Q256, ""RO"", ""EN""), """")"),"Not")</f>
        <v>Not</v>
      </c>
      <c r="G256" s="5" t="str">
        <f>IFERROR(__xludf.DUMMYFUNCTION("IF(R256&lt;&gt;"""", GOOGLETRANSLATE(R256, ""RO"", ""EN""), """")"),"")</f>
        <v/>
      </c>
      <c r="H256" s="5" t="str">
        <f>IFERROR(__xludf.DUMMYFUNCTION("IF(U256&lt;&gt;"""", GOOGLETRANSLATE(U256, ""RO"", ""EN""), """")"),"")</f>
        <v/>
      </c>
      <c r="I256" s="5" t="str">
        <f>IFERROR(__xludf.DUMMYFUNCTION("IF(V256&lt;&gt;"""", GOOGLETRANSLATE(V256, ""RO"", ""EN""), """")"),"")</f>
        <v/>
      </c>
      <c r="J256" s="5" t="str">
        <f>IFERROR(__xludf.DUMMYFUNCTION("IF(W256&lt;&gt;"""", GOOGLETRANSLATE(W256, ""RO"", ""EN""), """")"),"")</f>
        <v/>
      </c>
      <c r="K256" s="5" t="str">
        <f>IFERROR(__xludf.DUMMYFUNCTION("IF(X256&lt;&gt;"""", GOOGLETRANSLATE(X256, ""RO"", ""EN""), """")"),"")</f>
        <v/>
      </c>
      <c r="L256" s="5" t="str">
        <f>IFERROR(__xludf.DUMMYFUNCTION("IF(S256&lt;&gt;"""", GOOGLETRANSLATE(S256, ""RO"", ""EN""), """")"),"Ns")</f>
        <v>Ns</v>
      </c>
      <c r="M256" s="5" t="str">
        <f>IFERROR(__xludf.DUMMYFUNCTION("IF(T256&lt;&gt;"""", GOOGLETRANSLATE(T256, ""RO"", ""EN""), """")"),"No.")</f>
        <v>No.</v>
      </c>
      <c r="N256" s="5" t="str">
        <f>IFERROR(__xludf.DUMMYFUNCTION("IF(Y256&lt;&gt;"""", GOOGLETRANSLATE(Y256, ""RO"", ""EN""), """")"),"")</f>
        <v/>
      </c>
      <c r="P256" s="4" t="s">
        <v>639</v>
      </c>
      <c r="Q256" s="4" t="s">
        <v>640</v>
      </c>
      <c r="S256" s="4" t="s">
        <v>103</v>
      </c>
      <c r="T256" s="4" t="s">
        <v>104</v>
      </c>
    </row>
    <row r="257" ht="15.75" customHeight="1">
      <c r="A257" s="4" t="s">
        <v>769</v>
      </c>
      <c r="B257" s="4" t="s">
        <v>770</v>
      </c>
      <c r="C257" s="4" t="str">
        <f>IFERROR(__xludf.DUMMYFUNCTION("GOOGLETRANSLATE(B257, ""RO"", ""EN"")"),"entrepreneur on his own, including farmer/farmer, the owner of a business with or without employees")</f>
        <v>entrepreneur on his own, including farmer/farmer, the owner of a business with or without employees</v>
      </c>
      <c r="D257" s="5" t="str">
        <f>IFERROR(__xludf.DUMMYFUNCTION("IF(O257&lt;&gt;"""", GOOGLETRANSLATE(O257, ""RO"", ""EN""), """")"),"")</f>
        <v/>
      </c>
      <c r="E257" s="6" t="str">
        <f>IFERROR(__xludf.DUMMYFUNCTION("IF(P257&lt;&gt;"""", GOOGLETRANSLATE(P257, ""RO"", ""EN""), """")"),"Yes")</f>
        <v>Yes</v>
      </c>
      <c r="F257" s="5" t="str">
        <f>IFERROR(__xludf.DUMMYFUNCTION("IF(Q257&lt;&gt;"""", GOOGLETRANSLATE(Q257, ""RO"", ""EN""), """")"),"Not")</f>
        <v>Not</v>
      </c>
      <c r="G257" s="5" t="str">
        <f>IFERROR(__xludf.DUMMYFUNCTION("IF(R257&lt;&gt;"""", GOOGLETRANSLATE(R257, ""RO"", ""EN""), """")"),"")</f>
        <v/>
      </c>
      <c r="H257" s="5" t="str">
        <f>IFERROR(__xludf.DUMMYFUNCTION("IF(U257&lt;&gt;"""", GOOGLETRANSLATE(U257, ""RO"", ""EN""), """")"),"")</f>
        <v/>
      </c>
      <c r="I257" s="5" t="str">
        <f>IFERROR(__xludf.DUMMYFUNCTION("IF(V257&lt;&gt;"""", GOOGLETRANSLATE(V257, ""RO"", ""EN""), """")"),"")</f>
        <v/>
      </c>
      <c r="J257" s="5" t="str">
        <f>IFERROR(__xludf.DUMMYFUNCTION("IF(W257&lt;&gt;"""", GOOGLETRANSLATE(W257, ""RO"", ""EN""), """")"),"")</f>
        <v/>
      </c>
      <c r="K257" s="5" t="str">
        <f>IFERROR(__xludf.DUMMYFUNCTION("IF(X257&lt;&gt;"""", GOOGLETRANSLATE(X257, ""RO"", ""EN""), """")"),"")</f>
        <v/>
      </c>
      <c r="L257" s="5" t="str">
        <f>IFERROR(__xludf.DUMMYFUNCTION("IF(S257&lt;&gt;"""", GOOGLETRANSLATE(S257, ""RO"", ""EN""), """")"),"Ns")</f>
        <v>Ns</v>
      </c>
      <c r="M257" s="5" t="str">
        <f>IFERROR(__xludf.DUMMYFUNCTION("IF(T257&lt;&gt;"""", GOOGLETRANSLATE(T257, ""RO"", ""EN""), """")"),"No.")</f>
        <v>No.</v>
      </c>
      <c r="N257" s="5" t="str">
        <f>IFERROR(__xludf.DUMMYFUNCTION("IF(Y257&lt;&gt;"""", GOOGLETRANSLATE(Y257, ""RO"", ""EN""), """")"),"")</f>
        <v/>
      </c>
      <c r="P257" s="4" t="s">
        <v>639</v>
      </c>
      <c r="Q257" s="4" t="s">
        <v>640</v>
      </c>
      <c r="S257" s="4" t="s">
        <v>103</v>
      </c>
      <c r="T257" s="4" t="s">
        <v>104</v>
      </c>
    </row>
    <row r="258" ht="15.75" customHeight="1">
      <c r="A258" s="4" t="s">
        <v>771</v>
      </c>
      <c r="B258" s="4" t="s">
        <v>772</v>
      </c>
      <c r="C258" s="4" t="str">
        <f>IFERROR(__xludf.DUMMYFUNCTION("GOOGLETRANSLATE(B258, ""RO"", ""EN"")"),"self employed")</f>
        <v>self employed</v>
      </c>
      <c r="D258" s="5" t="str">
        <f>IFERROR(__xludf.DUMMYFUNCTION("IF(O258&lt;&gt;"""", GOOGLETRANSLATE(O258, ""RO"", ""EN""), """")"),"")</f>
        <v/>
      </c>
      <c r="E258" s="6" t="str">
        <f>IFERROR(__xludf.DUMMYFUNCTION("IF(P258&lt;&gt;"""", GOOGLETRANSLATE(P258, ""RO"", ""EN""), """")"),"Yes")</f>
        <v>Yes</v>
      </c>
      <c r="F258" s="5" t="str">
        <f>IFERROR(__xludf.DUMMYFUNCTION("IF(Q258&lt;&gt;"""", GOOGLETRANSLATE(Q258, ""RO"", ""EN""), """")"),"Not")</f>
        <v>Not</v>
      </c>
      <c r="G258" s="5" t="str">
        <f>IFERROR(__xludf.DUMMYFUNCTION("IF(R258&lt;&gt;"""", GOOGLETRANSLATE(R258, ""RO"", ""EN""), """")"),"")</f>
        <v/>
      </c>
      <c r="H258" s="5" t="str">
        <f>IFERROR(__xludf.DUMMYFUNCTION("IF(U258&lt;&gt;"""", GOOGLETRANSLATE(U258, ""RO"", ""EN""), """")"),"")</f>
        <v/>
      </c>
      <c r="I258" s="5" t="str">
        <f>IFERROR(__xludf.DUMMYFUNCTION("IF(V258&lt;&gt;"""", GOOGLETRANSLATE(V258, ""RO"", ""EN""), """")"),"")</f>
        <v/>
      </c>
      <c r="J258" s="5" t="str">
        <f>IFERROR(__xludf.DUMMYFUNCTION("IF(W258&lt;&gt;"""", GOOGLETRANSLATE(W258, ""RO"", ""EN""), """")"),"")</f>
        <v/>
      </c>
      <c r="K258" s="5" t="str">
        <f>IFERROR(__xludf.DUMMYFUNCTION("IF(X258&lt;&gt;"""", GOOGLETRANSLATE(X258, ""RO"", ""EN""), """")"),"")</f>
        <v/>
      </c>
      <c r="L258" s="5" t="str">
        <f>IFERROR(__xludf.DUMMYFUNCTION("IF(S258&lt;&gt;"""", GOOGLETRANSLATE(S258, ""RO"", ""EN""), """")"),"Ns")</f>
        <v>Ns</v>
      </c>
      <c r="M258" s="5" t="str">
        <f>IFERROR(__xludf.DUMMYFUNCTION("IF(T258&lt;&gt;"""", GOOGLETRANSLATE(T258, ""RO"", ""EN""), """")"),"No.")</f>
        <v>No.</v>
      </c>
      <c r="N258" s="5" t="str">
        <f>IFERROR(__xludf.DUMMYFUNCTION("IF(Y258&lt;&gt;"""", GOOGLETRANSLATE(Y258, ""RO"", ""EN""), """")"),"")</f>
        <v/>
      </c>
      <c r="P258" s="4" t="s">
        <v>639</v>
      </c>
      <c r="Q258" s="4" t="s">
        <v>640</v>
      </c>
      <c r="S258" s="4" t="s">
        <v>103</v>
      </c>
      <c r="T258" s="4" t="s">
        <v>104</v>
      </c>
    </row>
    <row r="259" ht="15.75" customHeight="1">
      <c r="A259" s="4" t="s">
        <v>773</v>
      </c>
      <c r="B259" s="4" t="s">
        <v>774</v>
      </c>
      <c r="C259" s="4" t="str">
        <f>IFERROR(__xludf.DUMMYFUNCTION("GOOGLETRANSLATE(B259, ""RO"", ""EN"")"),"You are housewife or work all the time in the household, take care of children without being paid for it")</f>
        <v>You are housewife or work all the time in the household, take care of children without being paid for it</v>
      </c>
      <c r="D259" s="5" t="str">
        <f>IFERROR(__xludf.DUMMYFUNCTION("IF(O259&lt;&gt;"""", GOOGLETRANSLATE(O259, ""RO"", ""EN""), """")"),"")</f>
        <v/>
      </c>
      <c r="E259" s="6" t="str">
        <f>IFERROR(__xludf.DUMMYFUNCTION("IF(P259&lt;&gt;"""", GOOGLETRANSLATE(P259, ""RO"", ""EN""), """")"),"Yes")</f>
        <v>Yes</v>
      </c>
      <c r="F259" s="5" t="str">
        <f>IFERROR(__xludf.DUMMYFUNCTION("IF(Q259&lt;&gt;"""", GOOGLETRANSLATE(Q259, ""RO"", ""EN""), """")"),"Not")</f>
        <v>Not</v>
      </c>
      <c r="G259" s="5" t="str">
        <f>IFERROR(__xludf.DUMMYFUNCTION("IF(R259&lt;&gt;"""", GOOGLETRANSLATE(R259, ""RO"", ""EN""), """")"),"")</f>
        <v/>
      </c>
      <c r="H259" s="5" t="str">
        <f>IFERROR(__xludf.DUMMYFUNCTION("IF(U259&lt;&gt;"""", GOOGLETRANSLATE(U259, ""RO"", ""EN""), """")"),"")</f>
        <v/>
      </c>
      <c r="I259" s="5" t="str">
        <f>IFERROR(__xludf.DUMMYFUNCTION("IF(V259&lt;&gt;"""", GOOGLETRANSLATE(V259, ""RO"", ""EN""), """")"),"")</f>
        <v/>
      </c>
      <c r="J259" s="5" t="str">
        <f>IFERROR(__xludf.DUMMYFUNCTION("IF(W259&lt;&gt;"""", GOOGLETRANSLATE(W259, ""RO"", ""EN""), """")"),"")</f>
        <v/>
      </c>
      <c r="K259" s="5" t="str">
        <f>IFERROR(__xludf.DUMMYFUNCTION("IF(X259&lt;&gt;"""", GOOGLETRANSLATE(X259, ""RO"", ""EN""), """")"),"")</f>
        <v/>
      </c>
      <c r="L259" s="5" t="str">
        <f>IFERROR(__xludf.DUMMYFUNCTION("IF(S259&lt;&gt;"""", GOOGLETRANSLATE(S259, ""RO"", ""EN""), """")"),"Ns")</f>
        <v>Ns</v>
      </c>
      <c r="M259" s="5" t="str">
        <f>IFERROR(__xludf.DUMMYFUNCTION("IF(T259&lt;&gt;"""", GOOGLETRANSLATE(T259, ""RO"", ""EN""), """")"),"No.")</f>
        <v>No.</v>
      </c>
      <c r="N259" s="5" t="str">
        <f>IFERROR(__xludf.DUMMYFUNCTION("IF(Y259&lt;&gt;"""", GOOGLETRANSLATE(Y259, ""RO"", ""EN""), """")"),"")</f>
        <v/>
      </c>
      <c r="P259" s="4" t="s">
        <v>639</v>
      </c>
      <c r="Q259" s="4" t="s">
        <v>640</v>
      </c>
      <c r="S259" s="4" t="s">
        <v>103</v>
      </c>
      <c r="T259" s="4" t="s">
        <v>104</v>
      </c>
    </row>
    <row r="260" ht="15.75" customHeight="1">
      <c r="A260" s="4" t="s">
        <v>775</v>
      </c>
      <c r="B260" s="4" t="s">
        <v>776</v>
      </c>
      <c r="C260" s="4" t="str">
        <f>IFERROR(__xludf.DUMMYFUNCTION("GOOGLETRANSLATE(B260, ""RO"", ""EN"")"),"Something else, what?")</f>
        <v>Something else, what?</v>
      </c>
      <c r="D260" s="5" t="str">
        <f>IFERROR(__xludf.DUMMYFUNCTION("IF(O260&lt;&gt;"""", GOOGLETRANSLATE(O260, ""RO"", ""EN""), """")"),"")</f>
        <v/>
      </c>
      <c r="E260" s="6" t="str">
        <f>IFERROR(__xludf.DUMMYFUNCTION("IF(P260&lt;&gt;"""", GOOGLETRANSLATE(P260, ""RO"", ""EN""), """")"),"Yes")</f>
        <v>Yes</v>
      </c>
      <c r="F260" s="5" t="str">
        <f>IFERROR(__xludf.DUMMYFUNCTION("IF(Q260&lt;&gt;"""", GOOGLETRANSLATE(Q260, ""RO"", ""EN""), """")"),"Not")</f>
        <v>Not</v>
      </c>
      <c r="G260" s="5" t="str">
        <f>IFERROR(__xludf.DUMMYFUNCTION("IF(R260&lt;&gt;"""", GOOGLETRANSLATE(R260, ""RO"", ""EN""), """")"),"")</f>
        <v/>
      </c>
      <c r="H260" s="5" t="str">
        <f>IFERROR(__xludf.DUMMYFUNCTION("IF(U260&lt;&gt;"""", GOOGLETRANSLATE(U260, ""RO"", ""EN""), """")"),"")</f>
        <v/>
      </c>
      <c r="I260" s="5" t="str">
        <f>IFERROR(__xludf.DUMMYFUNCTION("IF(V260&lt;&gt;"""", GOOGLETRANSLATE(V260, ""RO"", ""EN""), """")"),"")</f>
        <v/>
      </c>
      <c r="J260" s="5" t="str">
        <f>IFERROR(__xludf.DUMMYFUNCTION("IF(W260&lt;&gt;"""", GOOGLETRANSLATE(W260, ""RO"", ""EN""), """")"),"")</f>
        <v/>
      </c>
      <c r="K260" s="5" t="str">
        <f>IFERROR(__xludf.DUMMYFUNCTION("IF(X260&lt;&gt;"""", GOOGLETRANSLATE(X260, ""RO"", ""EN""), """")"),"")</f>
        <v/>
      </c>
      <c r="L260" s="5" t="str">
        <f>IFERROR(__xludf.DUMMYFUNCTION("IF(S260&lt;&gt;"""", GOOGLETRANSLATE(S260, ""RO"", ""EN""), """")"),"Ns")</f>
        <v>Ns</v>
      </c>
      <c r="M260" s="5" t="str">
        <f>IFERROR(__xludf.DUMMYFUNCTION("IF(T260&lt;&gt;"""", GOOGLETRANSLATE(T260, ""RO"", ""EN""), """")"),"No.")</f>
        <v>No.</v>
      </c>
      <c r="N260" s="5" t="str">
        <f>IFERROR(__xludf.DUMMYFUNCTION("IF(Y260&lt;&gt;"""", GOOGLETRANSLATE(Y260, ""RO"", ""EN""), """")"),"")</f>
        <v/>
      </c>
      <c r="P260" s="4" t="s">
        <v>639</v>
      </c>
      <c r="Q260" s="4" t="s">
        <v>640</v>
      </c>
      <c r="S260" s="4" t="s">
        <v>103</v>
      </c>
      <c r="T260" s="4" t="s">
        <v>104</v>
      </c>
    </row>
    <row r="261" ht="15.75" customHeight="1">
      <c r="A261" s="4" t="s">
        <v>777</v>
      </c>
      <c r="B261" s="4" t="s">
        <v>776</v>
      </c>
      <c r="C261" s="4" t="str">
        <f>IFERROR(__xludf.DUMMYFUNCTION("GOOGLETRANSLATE(B261, ""RO"", ""EN"")"),"Something else, what?")</f>
        <v>Something else, what?</v>
      </c>
      <c r="D261" s="5" t="str">
        <f>IFERROR(__xludf.DUMMYFUNCTION("IF(O261&lt;&gt;"""", GOOGLETRANSLATE(O261, ""RO"", ""EN""), """")"),"")</f>
        <v/>
      </c>
      <c r="E261" s="6" t="str">
        <f>IFERROR(__xludf.DUMMYFUNCTION("IF(P261&lt;&gt;"""", GOOGLETRANSLATE(P261, ""RO"", ""EN""), """")"),"")</f>
        <v/>
      </c>
      <c r="F261" s="5" t="str">
        <f>IFERROR(__xludf.DUMMYFUNCTION("IF(Q261&lt;&gt;"""", GOOGLETRANSLATE(Q261, ""RO"", ""EN""), """")"),"")</f>
        <v/>
      </c>
      <c r="G261" s="5" t="str">
        <f>IFERROR(__xludf.DUMMYFUNCTION("IF(R261&lt;&gt;"""", GOOGLETRANSLATE(R261, ""RO"", ""EN""), """")"),"")</f>
        <v/>
      </c>
      <c r="H261" s="5" t="str">
        <f>IFERROR(__xludf.DUMMYFUNCTION("IF(U261&lt;&gt;"""", GOOGLETRANSLATE(U261, ""RO"", ""EN""), """")"),"")</f>
        <v/>
      </c>
      <c r="I261" s="5" t="str">
        <f>IFERROR(__xludf.DUMMYFUNCTION("IF(V261&lt;&gt;"""", GOOGLETRANSLATE(V261, ""RO"", ""EN""), """")"),"")</f>
        <v/>
      </c>
      <c r="J261" s="5" t="str">
        <f>IFERROR(__xludf.DUMMYFUNCTION("IF(W261&lt;&gt;"""", GOOGLETRANSLATE(W261, ""RO"", ""EN""), """")"),"")</f>
        <v/>
      </c>
      <c r="K261" s="5" t="str">
        <f>IFERROR(__xludf.DUMMYFUNCTION("IF(X261&lt;&gt;"""", GOOGLETRANSLATE(X261, ""RO"", ""EN""), """")"),"")</f>
        <v/>
      </c>
      <c r="L261" s="5" t="str">
        <f>IFERROR(__xludf.DUMMYFUNCTION("IF(S261&lt;&gt;"""", GOOGLETRANSLATE(S261, ""RO"", ""EN""), """")"),"")</f>
        <v/>
      </c>
      <c r="M261" s="5" t="str">
        <f>IFERROR(__xludf.DUMMYFUNCTION("IF(T261&lt;&gt;"""", GOOGLETRANSLATE(T261, ""RO"", ""EN""), """")"),"")</f>
        <v/>
      </c>
      <c r="N261" s="5" t="str">
        <f>IFERROR(__xludf.DUMMYFUNCTION("IF(Y261&lt;&gt;"""", GOOGLETRANSLATE(Y261, ""RO"", ""EN""), """")"),"")</f>
        <v/>
      </c>
    </row>
    <row r="262" ht="15.75" customHeight="1">
      <c r="A262" s="4" t="s">
        <v>778</v>
      </c>
      <c r="B262" s="4" t="s">
        <v>779</v>
      </c>
      <c r="C262" s="4" t="str">
        <f>IFERROR(__xludf.DUMMYFUNCTION("GOOGLETRANSLATE(B262, ""RO"", ""EN"")"),"What occupation do you currently have or what was the last occupation you had?")</f>
        <v>What occupation do you currently have or what was the last occupation you had?</v>
      </c>
      <c r="D262" s="5" t="str">
        <f>IFERROR(__xludf.DUMMYFUNCTION("IF(O262&lt;&gt;"""", GOOGLETRANSLATE(O262, ""RO"", ""EN""), """")"),"")</f>
        <v/>
      </c>
      <c r="E262" s="6" t="str">
        <f>IFERROR(__xludf.DUMMYFUNCTION("IF(P262&lt;&gt;"""", GOOGLETRANSLATE(P262, ""RO"", ""EN""), """")"),"leaders of units and patrons, entrepreneurs")</f>
        <v>leaders of units and patrons, entrepreneurs</v>
      </c>
      <c r="F262" s="5" t="str">
        <f>IFERROR(__xludf.DUMMYFUNCTION("IF(Q262&lt;&gt;"""", GOOGLETRANSLATE(Q262, ""RO"", ""EN""), """")"),"Intellectual occupations (teacher, doctor, economist, lawyer, i")</f>
        <v>Intellectual occupations (teacher, doctor, economist, lawyer, i</v>
      </c>
      <c r="G262" s="5" t="str">
        <f>IFERROR(__xludf.DUMMYFUNCTION("IF(R262&lt;&gt;"""", GOOGLETRANSLATE(R262, ""RO"", ""EN""), """")"),"technicians or mastari")</f>
        <v>technicians or mastari</v>
      </c>
      <c r="H262" s="5" t="str">
        <f>IFERROR(__xludf.DUMMYFUNCTION("IF(U262&lt;&gt;"""", GOOGLETRANSLATE(U262, ""RO"", ""EN""), """")"),"OPERATION")</f>
        <v>OPERATION</v>
      </c>
      <c r="I262" s="5" t="str">
        <f>IFERROR(__xludf.DUMMYFUNCTION("IF(V262&lt;&gt;"""", GOOGLETRANSLATE(V262, ""RO"", ""EN""), """")"),"Workers in Services and Trade")</f>
        <v>Workers in Services and Trade</v>
      </c>
      <c r="J262" s="5" t="str">
        <f>IFERROR(__xludf.DUMMYFUNCTION("IF(W262&lt;&gt;"""", GOOGLETRANSLATE(W262, ""RO"", ""EN""), """")"),"Farmers with qualification or in their own household")</f>
        <v>Farmers with qualification or in their own household</v>
      </c>
      <c r="K262" s="5" t="str">
        <f>IFERROR(__xludf.DUMMYFUNCTION("IF(X262&lt;&gt;"""", GOOGLETRANSLATE(X262, ""RO"", ""EN""), """")"),"crafts and repair mechanics")</f>
        <v>crafts and repair mechanics</v>
      </c>
      <c r="L262" s="5" t="str">
        <f>IFERROR(__xludf.DUMMYFUNCTION("IF(S262&lt;&gt;"""", GOOGLETRANSLATE(S262, ""RO"", ""EN""), """")"),"qualified workers")</f>
        <v>qualified workers</v>
      </c>
      <c r="M262" s="5" t="str">
        <f>IFERROR(__xludf.DUMMYFUNCTION("IF(T262&lt;&gt;"""", GOOGLETRANSLATE(T262, ""RO"", ""EN""), """")"),"unskilled workers in non-agricultural sectors")</f>
        <v>unskilled workers in non-agricultural sectors</v>
      </c>
      <c r="N262" s="5" t="str">
        <f>IFERROR(__xludf.DUMMYFUNCTION("IF(Y262&lt;&gt;"""", GOOGLETRANSLATE(Y262, ""RO"", ""EN""), """")"),"day laborers")</f>
        <v>day laborers</v>
      </c>
      <c r="P262" s="4" t="s">
        <v>780</v>
      </c>
      <c r="Q262" s="4" t="s">
        <v>781</v>
      </c>
      <c r="R262" s="4" t="s">
        <v>782</v>
      </c>
      <c r="S262" s="4" t="s">
        <v>783</v>
      </c>
      <c r="T262" s="4" t="s">
        <v>784</v>
      </c>
      <c r="U262" s="4" t="s">
        <v>785</v>
      </c>
      <c r="V262" s="4" t="s">
        <v>786</v>
      </c>
      <c r="W262" s="4" t="s">
        <v>787</v>
      </c>
      <c r="X262" s="4" t="s">
        <v>788</v>
      </c>
      <c r="Y262" s="4" t="s">
        <v>789</v>
      </c>
      <c r="Z262" s="4" t="s">
        <v>790</v>
      </c>
      <c r="AA262" s="4" t="s">
        <v>791</v>
      </c>
      <c r="AB262" s="4" t="s">
        <v>104</v>
      </c>
      <c r="AH262" s="4" t="s">
        <v>792</v>
      </c>
      <c r="AI262" s="4" t="s">
        <v>793</v>
      </c>
      <c r="AJ262" s="4" t="s">
        <v>794</v>
      </c>
    </row>
    <row r="263" ht="15.75" customHeight="1">
      <c r="A263" s="4" t="s">
        <v>795</v>
      </c>
      <c r="B263" s="4" t="s">
        <v>796</v>
      </c>
      <c r="C263" s="4" t="str">
        <f>IFERROR(__xludf.DUMMYFUNCTION("GOOGLETRANSLATE(B263, ""RO"", ""EN"")"),"Do you work or worked in the private or public sector (""state"")?")</f>
        <v>Do you work or worked in the private or public sector ("state")?</v>
      </c>
      <c r="D263" s="5" t="str">
        <f>IFERROR(__xludf.DUMMYFUNCTION("IF(O263&lt;&gt;"""", GOOGLETRANSLATE(O263, ""RO"", ""EN""), """")"),"")</f>
        <v/>
      </c>
      <c r="E263" s="6" t="str">
        <f>IFERROR(__xludf.DUMMYFUNCTION("IF(P263&lt;&gt;"""", GOOGLETRANSLATE(P263, ""RO"", ""EN""), """")"),"Public")</f>
        <v>Public</v>
      </c>
      <c r="F263" s="5" t="str">
        <f>IFERROR(__xludf.DUMMYFUNCTION("IF(Q263&lt;&gt;"""", GOOGLETRANSLATE(Q263, ""RO"", ""EN""), """")"),"Private")</f>
        <v>Private</v>
      </c>
      <c r="G263" s="5" t="str">
        <f>IFERROR(__xludf.DUMMYFUNCTION("IF(R263&lt;&gt;"""", GOOGLETRANSLATE(R263, ""RO"", ""EN""), """")"),"NGO")</f>
        <v>NGO</v>
      </c>
      <c r="H263" s="5" t="str">
        <f>IFERROR(__xludf.DUMMYFUNCTION("IF(U263&lt;&gt;"""", GOOGLETRANSLATE(U263, ""RO"", ""EN""), """")"),"")</f>
        <v/>
      </c>
      <c r="I263" s="5" t="str">
        <f>IFERROR(__xludf.DUMMYFUNCTION("IF(V263&lt;&gt;"""", GOOGLETRANSLATE(V263, ""RO"", ""EN""), """")"),"")</f>
        <v/>
      </c>
      <c r="J263" s="5" t="str">
        <f>IFERROR(__xludf.DUMMYFUNCTION("IF(W263&lt;&gt;"""", GOOGLETRANSLATE(W263, ""RO"", ""EN""), """")"),"")</f>
        <v/>
      </c>
      <c r="K263" s="5" t="str">
        <f>IFERROR(__xludf.DUMMYFUNCTION("IF(X263&lt;&gt;"""", GOOGLETRANSLATE(X263, ""RO"", ""EN""), """")"),"Nc")</f>
        <v>Nc</v>
      </c>
      <c r="L263" s="5" t="str">
        <f>IFERROR(__xludf.DUMMYFUNCTION("IF(S263&lt;&gt;"""", GOOGLETRANSLATE(S263, ""RO"", ""EN""), """")"),"Ns")</f>
        <v>Ns</v>
      </c>
      <c r="M263" s="5" t="str">
        <f>IFERROR(__xludf.DUMMYFUNCTION("IF(T263&lt;&gt;"""", GOOGLETRANSLATE(T263, ""RO"", ""EN""), """")"),"No.")</f>
        <v>No.</v>
      </c>
      <c r="N263" s="5" t="str">
        <f>IFERROR(__xludf.DUMMYFUNCTION("IF(Y263&lt;&gt;"""", GOOGLETRANSLATE(Y263, ""RO"", ""EN""), """")"),"")</f>
        <v/>
      </c>
      <c r="P263" s="4" t="s">
        <v>797</v>
      </c>
      <c r="Q263" s="4" t="s">
        <v>798</v>
      </c>
      <c r="R263" s="4" t="s">
        <v>799</v>
      </c>
      <c r="S263" s="4" t="s">
        <v>103</v>
      </c>
      <c r="T263" s="4" t="s">
        <v>104</v>
      </c>
      <c r="X263" s="4" t="s">
        <v>177</v>
      </c>
    </row>
    <row r="264" ht="15.75" customHeight="1">
      <c r="A264" s="4" t="s">
        <v>800</v>
      </c>
      <c r="B264" s="4" t="s">
        <v>801</v>
      </c>
      <c r="C264" s="4" t="str">
        <f>IFERROR(__xludf.DUMMYFUNCTION("GOOGLETRANSLATE(B264, ""RO"", ""EN"")"),"Are you currently ...?")</f>
        <v>Are you currently ...?</v>
      </c>
      <c r="D264" s="5" t="str">
        <f>IFERROR(__xludf.DUMMYFUNCTION("IF(O264&lt;&gt;"""", GOOGLETRANSLATE(O264, ""RO"", ""EN""), """")"),"")</f>
        <v/>
      </c>
      <c r="E264" s="6" t="str">
        <f>IFERROR(__xludf.DUMMYFUNCTION("IF(P264&lt;&gt;"""", GOOGLETRANSLATE(P264, ""RO"", ""EN""), """")"),"married (a) with documents")</f>
        <v>married (a) with documents</v>
      </c>
      <c r="F264" s="5" t="str">
        <f>IFERROR(__xludf.DUMMYFUNCTION("IF(Q264&lt;&gt;"""", GOOGLETRANSLATE(Q264, ""RO"", ""EN""), """")"),"married (a) without acts / cohabitation")</f>
        <v>married (a) without acts / cohabitation</v>
      </c>
      <c r="G264" s="5" t="str">
        <f>IFERROR(__xludf.DUMMYFUNCTION("IF(R264&lt;&gt;"""", GOOGLETRANSLATE(R264, ""RO"", ""EN""), """")"),"divorced)")</f>
        <v>divorced)</v>
      </c>
      <c r="H264" s="5" t="str">
        <f>IFERROR(__xludf.DUMMYFUNCTION("IF(U264&lt;&gt;"""", GOOGLETRANSLATE(U264, ""RO"", ""EN""), """")"),"separately (a)")</f>
        <v>separately (a)</v>
      </c>
      <c r="I264" s="5" t="str">
        <f>IFERROR(__xludf.DUMMYFUNCTION("IF(V264&lt;&gt;"""", GOOGLETRANSLATE(V264, ""RO"", ""EN""), """")"),"unmarried (a)")</f>
        <v>unmarried (a)</v>
      </c>
      <c r="J264" s="5" t="str">
        <f>IFERROR(__xludf.DUMMYFUNCTION("IF(W264&lt;&gt;"""", GOOGLETRANSLATE(W264, ""RO"", ""EN""), """")"),"widow)")</f>
        <v>widow)</v>
      </c>
      <c r="K264" s="5" t="str">
        <f>IFERROR(__xludf.DUMMYFUNCTION("IF(X264&lt;&gt;"""", GOOGLETRANSLATE(X264, ""RO"", ""EN""), """")"),"")</f>
        <v/>
      </c>
      <c r="L264" s="5" t="str">
        <f>IFERROR(__xludf.DUMMYFUNCTION("IF(S264&lt;&gt;"""", GOOGLETRANSLATE(S264, ""RO"", ""EN""), """")"),"")</f>
        <v/>
      </c>
      <c r="M264" s="5" t="str">
        <f>IFERROR(__xludf.DUMMYFUNCTION("IF(T264&lt;&gt;"""", GOOGLETRANSLATE(T264, ""RO"", ""EN""), """")"),"No.")</f>
        <v>No.</v>
      </c>
      <c r="N264" s="5" t="str">
        <f>IFERROR(__xludf.DUMMYFUNCTION("IF(Y264&lt;&gt;"""", GOOGLETRANSLATE(Y264, ""RO"", ""EN""), """")"),"")</f>
        <v/>
      </c>
      <c r="P264" s="4" t="s">
        <v>802</v>
      </c>
      <c r="Q264" s="4" t="s">
        <v>803</v>
      </c>
      <c r="R264" s="4" t="s">
        <v>804</v>
      </c>
      <c r="T264" s="4" t="s">
        <v>104</v>
      </c>
      <c r="U264" s="4" t="s">
        <v>805</v>
      </c>
      <c r="V264" s="4" t="s">
        <v>806</v>
      </c>
      <c r="W264" s="4" t="s">
        <v>807</v>
      </c>
    </row>
    <row r="265" ht="15.75" customHeight="1">
      <c r="A265" s="4" t="s">
        <v>808</v>
      </c>
      <c r="B265" s="4" t="s">
        <v>809</v>
      </c>
      <c r="C265" s="4" t="str">
        <f>IFERROR(__xludf.DUMMYFUNCTION("GOOGLETRANSLATE(B265, ""RO"", ""EN"")"),"What is your ethnicity?")</f>
        <v>What is your ethnicity?</v>
      </c>
      <c r="D265" s="5" t="str">
        <f>IFERROR(__xludf.DUMMYFUNCTION("IF(O265&lt;&gt;"""", GOOGLETRANSLATE(O265, ""RO"", ""EN""), """")"),"")</f>
        <v/>
      </c>
      <c r="E265" s="6" t="str">
        <f>IFERROR(__xludf.DUMMYFUNCTION("IF(P265&lt;&gt;"""", GOOGLETRANSLATE(P265, ""RO"", ""EN""), """")"),"ROMANIAN")</f>
        <v>ROMANIAN</v>
      </c>
      <c r="F265" s="5" t="str">
        <f>IFERROR(__xludf.DUMMYFUNCTION("IF(Q265&lt;&gt;"""", GOOGLETRANSLATE(Q265, ""RO"", ""EN""), """")"),"Hungarian")</f>
        <v>Hungarian</v>
      </c>
      <c r="G265" s="5" t="str">
        <f>IFERROR(__xludf.DUMMYFUNCTION("IF(R265&lt;&gt;"""", GOOGLETRANSLATE(R265, ""RO"", ""EN""), """")"),"Rome")</f>
        <v>Rome</v>
      </c>
      <c r="H265" s="5" t="str">
        <f>IFERROR(__xludf.DUMMYFUNCTION("IF(U265&lt;&gt;"""", GOOGLETRANSLATE(U265, ""RO"", ""EN""), """")"),"GERMAN")</f>
        <v>GERMAN</v>
      </c>
      <c r="I265" s="5" t="str">
        <f>IFERROR(__xludf.DUMMYFUNCTION("IF(V265&lt;&gt;"""", GOOGLETRANSLATE(V265, ""RO"", ""EN""), """")"),"other")</f>
        <v>other</v>
      </c>
      <c r="J265" s="5" t="str">
        <f>IFERROR(__xludf.DUMMYFUNCTION("IF(W265&lt;&gt;"""", GOOGLETRANSLATE(W265, ""RO"", ""EN""), """")"),"")</f>
        <v/>
      </c>
      <c r="K265" s="5" t="str">
        <f>IFERROR(__xludf.DUMMYFUNCTION("IF(X265&lt;&gt;"""", GOOGLETRANSLATE(X265, ""RO"", ""EN""), """")"),"")</f>
        <v/>
      </c>
      <c r="L265" s="5" t="str">
        <f>IFERROR(__xludf.DUMMYFUNCTION("IF(S265&lt;&gt;"""", GOOGLETRANSLATE(S265, ""RO"", ""EN""), """")"),"")</f>
        <v/>
      </c>
      <c r="M265" s="5" t="str">
        <f>IFERROR(__xludf.DUMMYFUNCTION("IF(T265&lt;&gt;"""", GOOGLETRANSLATE(T265, ""RO"", ""EN""), """")"),"No.")</f>
        <v>No.</v>
      </c>
      <c r="N265" s="5" t="str">
        <f>IFERROR(__xludf.DUMMYFUNCTION("IF(Y265&lt;&gt;"""", GOOGLETRANSLATE(Y265, ""RO"", ""EN""), """")"),"")</f>
        <v/>
      </c>
      <c r="P265" s="4" t="s">
        <v>810</v>
      </c>
      <c r="Q265" s="4" t="s">
        <v>811</v>
      </c>
      <c r="R265" s="4" t="s">
        <v>812</v>
      </c>
      <c r="T265" s="4" t="s">
        <v>104</v>
      </c>
      <c r="U265" s="4" t="s">
        <v>813</v>
      </c>
      <c r="V265" s="4" t="s">
        <v>814</v>
      </c>
    </row>
    <row r="266" ht="15.75" customHeight="1">
      <c r="A266" s="4" t="s">
        <v>815</v>
      </c>
      <c r="B266" s="4" t="s">
        <v>816</v>
      </c>
      <c r="C266" s="4" t="str">
        <f>IFERROR(__xludf.DUMMYFUNCTION("GOOGLETRANSLATE(B266, ""RO"", ""EN"")"),"What is your religion?")</f>
        <v>What is your religion?</v>
      </c>
      <c r="D266" s="5" t="str">
        <f>IFERROR(__xludf.DUMMYFUNCTION("IF(O266&lt;&gt;"""", GOOGLETRANSLATE(O266, ""RO"", ""EN""), """")"),"")</f>
        <v/>
      </c>
      <c r="E266" s="6" t="str">
        <f>IFERROR(__xludf.DUMMYFUNCTION("IF(P266&lt;&gt;"""", GOOGLETRANSLATE(P266, ""RO"", ""EN""), """")"),"Orthodox")</f>
        <v>Orthodox</v>
      </c>
      <c r="F266" s="5" t="str">
        <f>IFERROR(__xludf.DUMMYFUNCTION("IF(Q266&lt;&gt;"""", GOOGLETRANSLATE(Q266, ""RO"", ""EN""), """")"),"Roman Catholic")</f>
        <v>Roman Catholic</v>
      </c>
      <c r="G266" s="5" t="str">
        <f>IFERROR(__xludf.DUMMYFUNCTION("IF(R266&lt;&gt;"""", GOOGLETRANSLATE(R266, ""RO"", ""EN""), """")"),"Protestant (Calvina, Evangelical, Lutheran, Reformed)")</f>
        <v>Protestant (Calvina, Evangelical, Lutheran, Reformed)</v>
      </c>
      <c r="H266" s="5" t="str">
        <f>IFERROR(__xludf.DUMMYFUNCTION("IF(U266&lt;&gt;"""", GOOGLETRANSLATE(U266, ""RO"", ""EN""), """")"),"Greco-Catholic")</f>
        <v>Greco-Catholic</v>
      </c>
      <c r="I266" s="5" t="str">
        <f>IFERROR(__xludf.DUMMYFUNCTION("IF(V266&lt;&gt;"""", GOOGLETRANSLATE(V266, ""RO"", ""EN""), """")"),"Neo-Protestant (Pentecostal, Adventist, Baptist, Gospel")</f>
        <v>Neo-Protestant (Pentecostal, Adventist, Baptist, Gospel</v>
      </c>
      <c r="J266" s="5" t="str">
        <f>IFERROR(__xludf.DUMMYFUNCTION("IF(W266&lt;&gt;"""", GOOGLETRANSLATE(W266, ""RO"", ""EN""), """")"),"without religion")</f>
        <v>without religion</v>
      </c>
      <c r="K266" s="5" t="str">
        <f>IFERROR(__xludf.DUMMYFUNCTION("IF(X266&lt;&gt;"""", GOOGLETRANSLATE(X266, ""RO"", ""EN""), """")"),"another religion")</f>
        <v>another religion</v>
      </c>
      <c r="L266" s="5" t="str">
        <f>IFERROR(__xludf.DUMMYFUNCTION("IF(S266&lt;&gt;"""", GOOGLETRANSLATE(S266, ""RO"", ""EN""), """")"),"undeclared religion")</f>
        <v>undeclared religion</v>
      </c>
      <c r="M266" s="5" t="str">
        <f>IFERROR(__xludf.DUMMYFUNCTION("IF(T266&lt;&gt;"""", GOOGLETRANSLATE(T266, ""RO"", ""EN""), """")"),"atheist")</f>
        <v>atheist</v>
      </c>
      <c r="N266" s="5" t="str">
        <f>IFERROR(__xludf.DUMMYFUNCTION("IF(Y266&lt;&gt;"""", GOOGLETRANSLATE(Y266, ""RO"", ""EN""), """")"),"")</f>
        <v/>
      </c>
      <c r="P266" s="4" t="s">
        <v>817</v>
      </c>
      <c r="Q266" s="4" t="s">
        <v>818</v>
      </c>
      <c r="R266" s="4" t="s">
        <v>819</v>
      </c>
      <c r="S266" s="4" t="s">
        <v>820</v>
      </c>
      <c r="T266" s="4" t="s">
        <v>821</v>
      </c>
      <c r="U266" s="4" t="s">
        <v>822</v>
      </c>
      <c r="V266" s="4" t="s">
        <v>823</v>
      </c>
      <c r="W266" s="4" t="s">
        <v>824</v>
      </c>
      <c r="X266" s="4" t="s">
        <v>825</v>
      </c>
      <c r="AA266" s="4" t="s">
        <v>103</v>
      </c>
      <c r="AB266" s="4" t="s">
        <v>104</v>
      </c>
    </row>
    <row r="267" ht="15.75" customHeight="1">
      <c r="A267" s="4" t="s">
        <v>826</v>
      </c>
      <c r="B267" s="4" t="s">
        <v>827</v>
      </c>
      <c r="C267" s="4" t="str">
        <f>IFERROR(__xludf.DUMMYFUNCTION("GOOGLETRANSLATE(B267, ""RO"", ""EN"")"),"Apart from weddings, funerals and baptisms, how often did you go to church lately?")</f>
        <v>Apart from weddings, funerals and baptisms, how often did you go to church lately?</v>
      </c>
      <c r="D267" s="5" t="str">
        <f>IFERROR(__xludf.DUMMYFUNCTION("IF(O267&lt;&gt;"""", GOOGLETRANSLATE(O267, ""RO"", ""EN""), """")"),"")</f>
        <v/>
      </c>
      <c r="E267" s="6" t="str">
        <f>IFERROR(__xludf.DUMMYFUNCTION("IF(P267&lt;&gt;"""", GOOGLETRANSLATE(P267, ""RO"", ""EN""), """")"),"Daily")</f>
        <v>Daily</v>
      </c>
      <c r="F267" s="5" t="str">
        <f>IFERROR(__xludf.DUMMYFUNCTION("IF(Q267&lt;&gt;"""", GOOGLETRANSLATE(Q267, ""RO"", ""EN""), """")"),"Several times a week")</f>
        <v>Several times a week</v>
      </c>
      <c r="G267" s="5" t="str">
        <f>IFERROR(__xludf.DUMMYFUNCTION("IF(R267&lt;&gt;"""", GOOGLETRANSLATE(R267, ""RO"", ""EN""), """")"),"Once a week")</f>
        <v>Once a week</v>
      </c>
      <c r="H267" s="5" t="str">
        <f>IFERROR(__xludf.DUMMYFUNCTION("IF(U267&lt;&gt;"""", GOOGLETRANSLATE(U267, ""RO"", ""EN""), """")"),"Two, three times a month")</f>
        <v>Two, three times a month</v>
      </c>
      <c r="I267" s="5" t="str">
        <f>IFERROR(__xludf.DUMMYFUNCTION("IF(V267&lt;&gt;"""", GOOGLETRANSLATE(V267, ""RO"", ""EN""), """")"),"Once a month")</f>
        <v>Once a month</v>
      </c>
      <c r="J267" s="5" t="str">
        <f>IFERROR(__xludf.DUMMYFUNCTION("IF(W267&lt;&gt;"""", GOOGLETRANSLATE(W267, ""RO"", ""EN""), """")"),"Of Christmas, pasta and other holy days")</f>
        <v>Of Christmas, pasta and other holy days</v>
      </c>
      <c r="K267" s="5" t="str">
        <f>IFERROR(__xludf.DUMMYFUNCTION("IF(X267&lt;&gt;"""", GOOGLETRANSLATE(X267, ""RO"", ""EN""), """")"),"Once a year or rarer")</f>
        <v>Once a year or rarer</v>
      </c>
      <c r="L267" s="5" t="str">
        <f>IFERROR(__xludf.DUMMYFUNCTION("IF(S267&lt;&gt;"""", GOOGLETRANSLATE(S267, ""RO"", ""EN""), """")"),"Actually never")</f>
        <v>Actually never</v>
      </c>
      <c r="M267" s="5" t="str">
        <f>IFERROR(__xludf.DUMMYFUNCTION("IF(T267&lt;&gt;"""", GOOGLETRANSLATE(T267, ""RO"", ""EN""), """")"),"No.")</f>
        <v>No.</v>
      </c>
      <c r="N267" s="5" t="str">
        <f>IFERROR(__xludf.DUMMYFUNCTION("IF(Y267&lt;&gt;"""", GOOGLETRANSLATE(Y267, ""RO"", ""EN""), """")"),"")</f>
        <v/>
      </c>
      <c r="P267" s="4" t="s">
        <v>828</v>
      </c>
      <c r="Q267" s="4" t="s">
        <v>829</v>
      </c>
      <c r="R267" s="4" t="s">
        <v>830</v>
      </c>
      <c r="S267" s="4" t="s">
        <v>831</v>
      </c>
      <c r="T267" s="4" t="s">
        <v>104</v>
      </c>
      <c r="U267" s="4" t="s">
        <v>832</v>
      </c>
      <c r="V267" s="4" t="s">
        <v>833</v>
      </c>
      <c r="W267" s="4" t="s">
        <v>834</v>
      </c>
      <c r="X267" s="4" t="s">
        <v>835</v>
      </c>
    </row>
    <row r="268" ht="15.75" customHeight="1">
      <c r="A268" s="4" t="s">
        <v>836</v>
      </c>
      <c r="B268" s="4" t="s">
        <v>837</v>
      </c>
      <c r="C268" s="4" t="str">
        <f>IFERROR(__xludf.DUMMYFUNCTION("GOOGLETRANSLATE(B268, ""RO"", ""EN"")"),"How often do you pray to God outside religious services?")</f>
        <v>How often do you pray to God outside religious services?</v>
      </c>
      <c r="D268" s="5" t="str">
        <f>IFERROR(__xludf.DUMMYFUNCTION("IF(O268&lt;&gt;"""", GOOGLETRANSLATE(O268, ""RO"", ""EN""), """")"),"")</f>
        <v/>
      </c>
      <c r="E268" s="6" t="str">
        <f>IFERROR(__xludf.DUMMYFUNCTION("IF(P268&lt;&gt;"""", GOOGLETRANSLATE(P268, ""RO"", ""EN""), """")"),"Daily")</f>
        <v>Daily</v>
      </c>
      <c r="F268" s="5" t="str">
        <f>IFERROR(__xludf.DUMMYFUNCTION("IF(Q268&lt;&gt;"""", GOOGLETRANSLATE(Q268, ""RO"", ""EN""), """")"),"Several times a week")</f>
        <v>Several times a week</v>
      </c>
      <c r="G268" s="5" t="str">
        <f>IFERROR(__xludf.DUMMYFUNCTION("IF(R268&lt;&gt;"""", GOOGLETRANSLATE(R268, ""RO"", ""EN""), """")"),"Once a week")</f>
        <v>Once a week</v>
      </c>
      <c r="H268" s="5" t="str">
        <f>IFERROR(__xludf.DUMMYFUNCTION("IF(U268&lt;&gt;"""", GOOGLETRANSLATE(U268, ""RO"", ""EN""), """")"),"At least once a month")</f>
        <v>At least once a month</v>
      </c>
      <c r="I268" s="5" t="str">
        <f>IFERROR(__xludf.DUMMYFUNCTION("IF(V268&lt;&gt;"""", GOOGLETRANSLATE(V268, ""RO"", ""EN""), """")"),"Several times a year")</f>
        <v>Several times a year</v>
      </c>
      <c r="J268" s="5" t="str">
        <f>IFERROR(__xludf.DUMMYFUNCTION("IF(W268&lt;&gt;"""", GOOGLETRANSLATE(W268, ""RO"", ""EN""), """")"),"Rarer")</f>
        <v>Rarer</v>
      </c>
      <c r="K268" s="5" t="str">
        <f>IFERROR(__xludf.DUMMYFUNCTION("IF(X268&lt;&gt;"""", GOOGLETRANSLATE(X268, ""RO"", ""EN""), """")"),"Never")</f>
        <v>Never</v>
      </c>
      <c r="L268" s="5" t="str">
        <f>IFERROR(__xludf.DUMMYFUNCTION("IF(S268&lt;&gt;"""", GOOGLETRANSLATE(S268, ""RO"", ""EN""), """")"),"")</f>
        <v/>
      </c>
      <c r="M268" s="5" t="str">
        <f>IFERROR(__xludf.DUMMYFUNCTION("IF(T268&lt;&gt;"""", GOOGLETRANSLATE(T268, ""RO"", ""EN""), """")"),"")</f>
        <v/>
      </c>
      <c r="N268" s="5" t="str">
        <f>IFERROR(__xludf.DUMMYFUNCTION("IF(Y268&lt;&gt;"""", GOOGLETRANSLATE(Y268, ""RO"", ""EN""), """")"),"")</f>
        <v/>
      </c>
      <c r="P268" s="4" t="s">
        <v>838</v>
      </c>
      <c r="Q268" s="4" t="s">
        <v>839</v>
      </c>
      <c r="R268" s="4" t="s">
        <v>830</v>
      </c>
      <c r="U268" s="4" t="s">
        <v>840</v>
      </c>
      <c r="V268" s="4" t="s">
        <v>841</v>
      </c>
      <c r="W268" s="4" t="s">
        <v>842</v>
      </c>
      <c r="X268" s="4" t="s">
        <v>282</v>
      </c>
      <c r="AA268" s="4" t="s">
        <v>103</v>
      </c>
      <c r="AB268" s="4" t="s">
        <v>104</v>
      </c>
    </row>
    <row r="269" ht="15.75" customHeight="1">
      <c r="A269" s="4" t="s">
        <v>843</v>
      </c>
      <c r="B269" s="4" t="s">
        <v>844</v>
      </c>
      <c r="C269" s="4" t="str">
        <f>IFERROR(__xludf.DUMMYFUNCTION("GOOGLETRANSLATE(B269, ""RO"", ""EN"")"),"How often do you do each of the following things? Worship or make the sign of the cross when you pass through a church")</f>
        <v>How often do you do each of the following things? Worship or make the sign of the cross when you pass through a church</v>
      </c>
      <c r="D269" s="5" t="str">
        <f>IFERROR(__xludf.DUMMYFUNCTION("IF(O269&lt;&gt;"""", GOOGLETRANSLATE(O269, ""RO"", ""EN""), """")"),"")</f>
        <v/>
      </c>
      <c r="E269" s="6" t="str">
        <f>IFERROR(__xludf.DUMMYFUNCTION("IF(P269&lt;&gt;"""", GOOGLETRANSLATE(P269, ""RO"", ""EN""), """")"),"ever")</f>
        <v>ever</v>
      </c>
      <c r="F269" s="5" t="str">
        <f>IFERROR(__xludf.DUMMYFUNCTION("IF(Q269&lt;&gt;"""", GOOGLETRANSLATE(Q269, ""RO"", ""EN""), """")"),"Most often")</f>
        <v>Most often</v>
      </c>
      <c r="G269" s="5" t="str">
        <f>IFERROR(__xludf.DUMMYFUNCTION("IF(R269&lt;&gt;"""", GOOGLETRANSLATE(R269, ""RO"", ""EN""), """")"),"Sometimes")</f>
        <v>Sometimes</v>
      </c>
      <c r="H269" s="5" t="str">
        <f>IFERROR(__xludf.DUMMYFUNCTION("IF(U269&lt;&gt;"""", GOOGLETRANSLATE(U269, ""RO"", ""EN""), """")"),"Never")</f>
        <v>Never</v>
      </c>
      <c r="I269" s="5" t="str">
        <f>IFERROR(__xludf.DUMMYFUNCTION("IF(V269&lt;&gt;"""", GOOGLETRANSLATE(V269, ""RO"", ""EN""), """")"),"")</f>
        <v/>
      </c>
      <c r="J269" s="5" t="str">
        <f>IFERROR(__xludf.DUMMYFUNCTION("IF(W269&lt;&gt;"""", GOOGLETRANSLATE(W269, ""RO"", ""EN""), """")"),"")</f>
        <v/>
      </c>
      <c r="K269" s="5" t="str">
        <f>IFERROR(__xludf.DUMMYFUNCTION("IF(X269&lt;&gt;"""", GOOGLETRANSLATE(X269, ""RO"", ""EN""), """")"),"Nc")</f>
        <v>Nc</v>
      </c>
      <c r="L269" s="5" t="str">
        <f>IFERROR(__xludf.DUMMYFUNCTION("IF(S269&lt;&gt;"""", GOOGLETRANSLATE(S269, ""RO"", ""EN""), """")"),"")</f>
        <v/>
      </c>
      <c r="M269" s="5" t="str">
        <f>IFERROR(__xludf.DUMMYFUNCTION("IF(T269&lt;&gt;"""", GOOGLETRANSLATE(T269, ""RO"", ""EN""), """")"),"No.")</f>
        <v>No.</v>
      </c>
      <c r="N269" s="5" t="str">
        <f>IFERROR(__xludf.DUMMYFUNCTION("IF(Y269&lt;&gt;"""", GOOGLETRANSLATE(Y269, ""RO"", ""EN""), """")"),"")</f>
        <v/>
      </c>
      <c r="P269" s="4" t="s">
        <v>845</v>
      </c>
      <c r="Q269" s="4" t="s">
        <v>846</v>
      </c>
      <c r="R269" s="4" t="s">
        <v>847</v>
      </c>
      <c r="T269" s="4" t="s">
        <v>104</v>
      </c>
      <c r="U269" s="4" t="s">
        <v>282</v>
      </c>
      <c r="X269" s="4" t="s">
        <v>177</v>
      </c>
    </row>
    <row r="270" ht="15.75" customHeight="1">
      <c r="A270" s="4" t="s">
        <v>848</v>
      </c>
      <c r="B270" s="4" t="s">
        <v>849</v>
      </c>
      <c r="C270" s="4" t="str">
        <f>IFERROR(__xludf.DUMMYFUNCTION("GOOGLETRANSLATE(B270, ""RO"", ""EN"")"),"On Sundays or religious holidays worked in the household or elsewhere?")</f>
        <v>On Sundays or religious holidays worked in the household or elsewhere?</v>
      </c>
      <c r="D270" s="5" t="str">
        <f>IFERROR(__xludf.DUMMYFUNCTION("IF(O270&lt;&gt;"""", GOOGLETRANSLATE(O270, ""RO"", ""EN""), """")"),"")</f>
        <v/>
      </c>
      <c r="E270" s="6" t="str">
        <f>IFERROR(__xludf.DUMMYFUNCTION("IF(P270&lt;&gt;"""", GOOGLETRANSLATE(P270, ""RO"", ""EN""), """")"),"ever")</f>
        <v>ever</v>
      </c>
      <c r="F270" s="5" t="str">
        <f>IFERROR(__xludf.DUMMYFUNCTION("IF(Q270&lt;&gt;"""", GOOGLETRANSLATE(Q270, ""RO"", ""EN""), """")"),"Most often")</f>
        <v>Most often</v>
      </c>
      <c r="G270" s="5" t="str">
        <f>IFERROR(__xludf.DUMMYFUNCTION("IF(R270&lt;&gt;"""", GOOGLETRANSLATE(R270, ""RO"", ""EN""), """")"),"Sometimes")</f>
        <v>Sometimes</v>
      </c>
      <c r="H270" s="5" t="str">
        <f>IFERROR(__xludf.DUMMYFUNCTION("IF(U270&lt;&gt;"""", GOOGLETRANSLATE(U270, ""RO"", ""EN""), """")"),"Never")</f>
        <v>Never</v>
      </c>
      <c r="I270" s="5" t="str">
        <f>IFERROR(__xludf.DUMMYFUNCTION("IF(V270&lt;&gt;"""", GOOGLETRANSLATE(V270, ""RO"", ""EN""), """")"),"")</f>
        <v/>
      </c>
      <c r="J270" s="5" t="str">
        <f>IFERROR(__xludf.DUMMYFUNCTION("IF(W270&lt;&gt;"""", GOOGLETRANSLATE(W270, ""RO"", ""EN""), """")"),"")</f>
        <v/>
      </c>
      <c r="K270" s="5" t="str">
        <f>IFERROR(__xludf.DUMMYFUNCTION("IF(X270&lt;&gt;"""", GOOGLETRANSLATE(X270, ""RO"", ""EN""), """")"),"Nc")</f>
        <v>Nc</v>
      </c>
      <c r="L270" s="5" t="str">
        <f>IFERROR(__xludf.DUMMYFUNCTION("IF(S270&lt;&gt;"""", GOOGLETRANSLATE(S270, ""RO"", ""EN""), """")"),"")</f>
        <v/>
      </c>
      <c r="M270" s="5" t="str">
        <f>IFERROR(__xludf.DUMMYFUNCTION("IF(T270&lt;&gt;"""", GOOGLETRANSLATE(T270, ""RO"", ""EN""), """")"),"No.")</f>
        <v>No.</v>
      </c>
      <c r="N270" s="5" t="str">
        <f>IFERROR(__xludf.DUMMYFUNCTION("IF(Y270&lt;&gt;"""", GOOGLETRANSLATE(Y270, ""RO"", ""EN""), """")"),"")</f>
        <v/>
      </c>
      <c r="P270" s="4" t="s">
        <v>845</v>
      </c>
      <c r="Q270" s="4" t="s">
        <v>846</v>
      </c>
      <c r="R270" s="4" t="s">
        <v>847</v>
      </c>
      <c r="T270" s="4" t="s">
        <v>104</v>
      </c>
      <c r="U270" s="4" t="s">
        <v>282</v>
      </c>
      <c r="X270" s="4" t="s">
        <v>177</v>
      </c>
    </row>
    <row r="271" ht="15.75" customHeight="1">
      <c r="A271" s="4" t="s">
        <v>850</v>
      </c>
      <c r="B271" s="4" t="s">
        <v>851</v>
      </c>
      <c r="C271" s="4" t="str">
        <f>IFERROR(__xludf.DUMMYFUNCTION("GOOGLETRANSLATE(B271, ""RO"", ""EN"")"),"Receive in the house the priest with baptism")</f>
        <v>Receive in the house the priest with baptism</v>
      </c>
      <c r="D271" s="5" t="str">
        <f>IFERROR(__xludf.DUMMYFUNCTION("IF(O271&lt;&gt;"""", GOOGLETRANSLATE(O271, ""RO"", ""EN""), """")"),"")</f>
        <v/>
      </c>
      <c r="E271" s="6" t="str">
        <f>IFERROR(__xludf.DUMMYFUNCTION("IF(P271&lt;&gt;"""", GOOGLETRANSLATE(P271, ""RO"", ""EN""), """")"),"ever")</f>
        <v>ever</v>
      </c>
      <c r="F271" s="5" t="str">
        <f>IFERROR(__xludf.DUMMYFUNCTION("IF(Q271&lt;&gt;"""", GOOGLETRANSLATE(Q271, ""RO"", ""EN""), """")"),"Most often")</f>
        <v>Most often</v>
      </c>
      <c r="G271" s="5" t="str">
        <f>IFERROR(__xludf.DUMMYFUNCTION("IF(R271&lt;&gt;"""", GOOGLETRANSLATE(R271, ""RO"", ""EN""), """")"),"Sometimes")</f>
        <v>Sometimes</v>
      </c>
      <c r="H271" s="5" t="str">
        <f>IFERROR(__xludf.DUMMYFUNCTION("IF(U271&lt;&gt;"""", GOOGLETRANSLATE(U271, ""RO"", ""EN""), """")"),"Never")</f>
        <v>Never</v>
      </c>
      <c r="I271" s="5" t="str">
        <f>IFERROR(__xludf.DUMMYFUNCTION("IF(V271&lt;&gt;"""", GOOGLETRANSLATE(V271, ""RO"", ""EN""), """")"),"")</f>
        <v/>
      </c>
      <c r="J271" s="5" t="str">
        <f>IFERROR(__xludf.DUMMYFUNCTION("IF(W271&lt;&gt;"""", GOOGLETRANSLATE(W271, ""RO"", ""EN""), """")"),"")</f>
        <v/>
      </c>
      <c r="K271" s="5" t="str">
        <f>IFERROR(__xludf.DUMMYFUNCTION("IF(X271&lt;&gt;"""", GOOGLETRANSLATE(X271, ""RO"", ""EN""), """")"),"Nc")</f>
        <v>Nc</v>
      </c>
      <c r="L271" s="5" t="str">
        <f>IFERROR(__xludf.DUMMYFUNCTION("IF(S271&lt;&gt;"""", GOOGLETRANSLATE(S271, ""RO"", ""EN""), """")"),"")</f>
        <v/>
      </c>
      <c r="M271" s="5" t="str">
        <f>IFERROR(__xludf.DUMMYFUNCTION("IF(T271&lt;&gt;"""", GOOGLETRANSLATE(T271, ""RO"", ""EN""), """")"),"No.")</f>
        <v>No.</v>
      </c>
      <c r="N271" s="5" t="str">
        <f>IFERROR(__xludf.DUMMYFUNCTION("IF(Y271&lt;&gt;"""", GOOGLETRANSLATE(Y271, ""RO"", ""EN""), """")"),"")</f>
        <v/>
      </c>
      <c r="P271" s="4" t="s">
        <v>845</v>
      </c>
      <c r="Q271" s="4" t="s">
        <v>846</v>
      </c>
      <c r="R271" s="4" t="s">
        <v>847</v>
      </c>
      <c r="T271" s="4" t="s">
        <v>104</v>
      </c>
      <c r="U271" s="4" t="s">
        <v>282</v>
      </c>
      <c r="X271" s="4" t="s">
        <v>177</v>
      </c>
    </row>
    <row r="272" ht="15.75" customHeight="1">
      <c r="A272" s="4" t="s">
        <v>852</v>
      </c>
      <c r="B272" s="4" t="s">
        <v>853</v>
      </c>
      <c r="C272" s="4" t="str">
        <f>IFERROR(__xludf.DUMMYFUNCTION("GOOGLETRANSLATE(B272, ""RO"", ""EN"")"),"Posts (do not eat sweet) on fasting days, other than those before the big holidays")</f>
        <v>Posts (do not eat sweet) on fasting days, other than those before the big holidays</v>
      </c>
      <c r="D272" s="5" t="str">
        <f>IFERROR(__xludf.DUMMYFUNCTION("IF(O272&lt;&gt;"""", GOOGLETRANSLATE(O272, ""RO"", ""EN""), """")"),"")</f>
        <v/>
      </c>
      <c r="E272" s="6" t="str">
        <f>IFERROR(__xludf.DUMMYFUNCTION("IF(P272&lt;&gt;"""", GOOGLETRANSLATE(P272, ""RO"", ""EN""), """")"),"ever")</f>
        <v>ever</v>
      </c>
      <c r="F272" s="5" t="str">
        <f>IFERROR(__xludf.DUMMYFUNCTION("IF(Q272&lt;&gt;"""", GOOGLETRANSLATE(Q272, ""RO"", ""EN""), """")"),"Most often")</f>
        <v>Most often</v>
      </c>
      <c r="G272" s="5" t="str">
        <f>IFERROR(__xludf.DUMMYFUNCTION("IF(R272&lt;&gt;"""", GOOGLETRANSLATE(R272, ""RO"", ""EN""), """")"),"Sometimes")</f>
        <v>Sometimes</v>
      </c>
      <c r="H272" s="5" t="str">
        <f>IFERROR(__xludf.DUMMYFUNCTION("IF(U272&lt;&gt;"""", GOOGLETRANSLATE(U272, ""RO"", ""EN""), """")"),"Never")</f>
        <v>Never</v>
      </c>
      <c r="I272" s="5" t="str">
        <f>IFERROR(__xludf.DUMMYFUNCTION("IF(V272&lt;&gt;"""", GOOGLETRANSLATE(V272, ""RO"", ""EN""), """")"),"")</f>
        <v/>
      </c>
      <c r="J272" s="5" t="str">
        <f>IFERROR(__xludf.DUMMYFUNCTION("IF(W272&lt;&gt;"""", GOOGLETRANSLATE(W272, ""RO"", ""EN""), """")"),"")</f>
        <v/>
      </c>
      <c r="K272" s="5" t="str">
        <f>IFERROR(__xludf.DUMMYFUNCTION("IF(X272&lt;&gt;"""", GOOGLETRANSLATE(X272, ""RO"", ""EN""), """")"),"Nc")</f>
        <v>Nc</v>
      </c>
      <c r="L272" s="5" t="str">
        <f>IFERROR(__xludf.DUMMYFUNCTION("IF(S272&lt;&gt;"""", GOOGLETRANSLATE(S272, ""RO"", ""EN""), """")"),"")</f>
        <v/>
      </c>
      <c r="M272" s="5" t="str">
        <f>IFERROR(__xludf.DUMMYFUNCTION("IF(T272&lt;&gt;"""", GOOGLETRANSLATE(T272, ""RO"", ""EN""), """")"),"No.")</f>
        <v>No.</v>
      </c>
      <c r="N272" s="5" t="str">
        <f>IFERROR(__xludf.DUMMYFUNCTION("IF(Y272&lt;&gt;"""", GOOGLETRANSLATE(Y272, ""RO"", ""EN""), """")"),"")</f>
        <v/>
      </c>
      <c r="P272" s="4" t="s">
        <v>845</v>
      </c>
      <c r="Q272" s="4" t="s">
        <v>846</v>
      </c>
      <c r="R272" s="4" t="s">
        <v>847</v>
      </c>
      <c r="T272" s="4" t="s">
        <v>104</v>
      </c>
      <c r="U272" s="4" t="s">
        <v>282</v>
      </c>
      <c r="X272" s="4" t="s">
        <v>177</v>
      </c>
    </row>
    <row r="273" ht="15.75" customHeight="1">
      <c r="A273" s="4" t="s">
        <v>854</v>
      </c>
      <c r="B273" s="4" t="s">
        <v>855</v>
      </c>
      <c r="C273" s="4" t="str">
        <f>IFERROR(__xludf.DUMMYFUNCTION("GOOGLETRANSLATE(B273, ""RO"", ""EN"")"),"Ask the priest's advice when you have a trouble")</f>
        <v>Ask the priest's advice when you have a trouble</v>
      </c>
      <c r="D273" s="5" t="str">
        <f>IFERROR(__xludf.DUMMYFUNCTION("IF(O273&lt;&gt;"""", GOOGLETRANSLATE(O273, ""RO"", ""EN""), """")"),"")</f>
        <v/>
      </c>
      <c r="E273" s="6" t="str">
        <f>IFERROR(__xludf.DUMMYFUNCTION("IF(P273&lt;&gt;"""", GOOGLETRANSLATE(P273, ""RO"", ""EN""), """")"),"ever")</f>
        <v>ever</v>
      </c>
      <c r="F273" s="5" t="str">
        <f>IFERROR(__xludf.DUMMYFUNCTION("IF(Q273&lt;&gt;"""", GOOGLETRANSLATE(Q273, ""RO"", ""EN""), """")"),"Most often")</f>
        <v>Most often</v>
      </c>
      <c r="G273" s="5" t="str">
        <f>IFERROR(__xludf.DUMMYFUNCTION("IF(R273&lt;&gt;"""", GOOGLETRANSLATE(R273, ""RO"", ""EN""), """")"),"Sometimes")</f>
        <v>Sometimes</v>
      </c>
      <c r="H273" s="5" t="str">
        <f>IFERROR(__xludf.DUMMYFUNCTION("IF(U273&lt;&gt;"""", GOOGLETRANSLATE(U273, ""RO"", ""EN""), """")"),"Never")</f>
        <v>Never</v>
      </c>
      <c r="I273" s="5" t="str">
        <f>IFERROR(__xludf.DUMMYFUNCTION("IF(V273&lt;&gt;"""", GOOGLETRANSLATE(V273, ""RO"", ""EN""), """")"),"")</f>
        <v/>
      </c>
      <c r="J273" s="5" t="str">
        <f>IFERROR(__xludf.DUMMYFUNCTION("IF(W273&lt;&gt;"""", GOOGLETRANSLATE(W273, ""RO"", ""EN""), """")"),"")</f>
        <v/>
      </c>
      <c r="K273" s="5" t="str">
        <f>IFERROR(__xludf.DUMMYFUNCTION("IF(X273&lt;&gt;"""", GOOGLETRANSLATE(X273, ""RO"", ""EN""), """")"),"Nc")</f>
        <v>Nc</v>
      </c>
      <c r="L273" s="5" t="str">
        <f>IFERROR(__xludf.DUMMYFUNCTION("IF(S273&lt;&gt;"""", GOOGLETRANSLATE(S273, ""RO"", ""EN""), """")"),"")</f>
        <v/>
      </c>
      <c r="M273" s="5" t="str">
        <f>IFERROR(__xludf.DUMMYFUNCTION("IF(T273&lt;&gt;"""", GOOGLETRANSLATE(T273, ""RO"", ""EN""), """")"),"No.")</f>
        <v>No.</v>
      </c>
      <c r="N273" s="5" t="str">
        <f>IFERROR(__xludf.DUMMYFUNCTION("IF(Y273&lt;&gt;"""", GOOGLETRANSLATE(Y273, ""RO"", ""EN""), """")"),"")</f>
        <v/>
      </c>
      <c r="P273" s="4" t="s">
        <v>845</v>
      </c>
      <c r="Q273" s="4" t="s">
        <v>846</v>
      </c>
      <c r="R273" s="4" t="s">
        <v>847</v>
      </c>
      <c r="T273" s="4" t="s">
        <v>104</v>
      </c>
      <c r="U273" s="4" t="s">
        <v>282</v>
      </c>
      <c r="X273" s="4" t="s">
        <v>177</v>
      </c>
    </row>
    <row r="274" ht="15.75" customHeight="1">
      <c r="A274" s="4" t="s">
        <v>856</v>
      </c>
      <c r="B274" s="4" t="s">
        <v>857</v>
      </c>
      <c r="C274" s="4" t="str">
        <f>IFERROR(__xludf.DUMMYFUNCTION("GOOGLETRANSLATE(B274, ""RO"", ""EN"")"),"Usually, do you post in the periods of fasting before the great holidays (the Passover, the post of the apostles, the post of the Assumption of the Lord, the Christmas Post)?")</f>
        <v>Usually, do you post in the periods of fasting before the great holidays (the Passover, the post of the apostles, the post of the Assumption of the Lord, the Christmas Post)?</v>
      </c>
      <c r="D274" s="5" t="str">
        <f>IFERROR(__xludf.DUMMYFUNCTION("IF(O274&lt;&gt;"""", GOOGLETRANSLATE(O274, ""RO"", ""EN""), """")"),"")</f>
        <v/>
      </c>
      <c r="E274" s="6" t="str">
        <f>IFERROR(__xludf.DUMMYFUNCTION("IF(P274&lt;&gt;"""", GOOGLETRANSLATE(P274, ""RO"", ""EN""), """")"),"Yes, the whole period")</f>
        <v>Yes, the whole period</v>
      </c>
      <c r="F274" s="5" t="str">
        <f>IFERROR(__xludf.DUMMYFUNCTION("IF(Q274&lt;&gt;"""", GOOGLETRANSLATE(Q274, ""RO"", ""EN""), """")"),"Yes, but only partially (a week, a few days)")</f>
        <v>Yes, but only partially (a week, a few days)</v>
      </c>
      <c r="G274" s="5" t="str">
        <f>IFERROR(__xludf.DUMMYFUNCTION("IF(R274&lt;&gt;"""", GOOGLETRANSLATE(R274, ""RO"", ""EN""), """")"),"Not at all")</f>
        <v>Not at all</v>
      </c>
      <c r="H274" s="5" t="str">
        <f>IFERROR(__xludf.DUMMYFUNCTION("IF(U274&lt;&gt;"""", GOOGLETRANSLATE(U274, ""RO"", ""EN""), """")"),"")</f>
        <v/>
      </c>
      <c r="I274" s="5" t="str">
        <f>IFERROR(__xludf.DUMMYFUNCTION("IF(V274&lt;&gt;"""", GOOGLETRANSLATE(V274, ""RO"", ""EN""), """")"),"")</f>
        <v/>
      </c>
      <c r="J274" s="5" t="str">
        <f>IFERROR(__xludf.DUMMYFUNCTION("IF(W274&lt;&gt;"""", GOOGLETRANSLATE(W274, ""RO"", ""EN""), """")"),"")</f>
        <v/>
      </c>
      <c r="K274" s="5" t="str">
        <f>IFERROR(__xludf.DUMMYFUNCTION("IF(X274&lt;&gt;"""", GOOGLETRANSLATE(X274, ""RO"", ""EN""), """")"),"Nc")</f>
        <v>Nc</v>
      </c>
      <c r="L274" s="5" t="str">
        <f>IFERROR(__xludf.DUMMYFUNCTION("IF(S274&lt;&gt;"""", GOOGLETRANSLATE(S274, ""RO"", ""EN""), """")"),"I don't know what these periods are")</f>
        <v>I don't know what these periods are</v>
      </c>
      <c r="M274" s="5" t="str">
        <f>IFERROR(__xludf.DUMMYFUNCTION("IF(T274&lt;&gt;"""", GOOGLETRANSLATE(T274, ""RO"", ""EN""), """")"),"No.")</f>
        <v>No.</v>
      </c>
      <c r="N274" s="5" t="str">
        <f>IFERROR(__xludf.DUMMYFUNCTION("IF(Y274&lt;&gt;"""", GOOGLETRANSLATE(Y274, ""RO"", ""EN""), """")"),"")</f>
        <v/>
      </c>
      <c r="P274" s="4" t="s">
        <v>858</v>
      </c>
      <c r="Q274" s="4" t="s">
        <v>859</v>
      </c>
      <c r="R274" s="4" t="s">
        <v>860</v>
      </c>
      <c r="S274" s="4" t="s">
        <v>861</v>
      </c>
      <c r="T274" s="4" t="s">
        <v>104</v>
      </c>
      <c r="X274" s="4" t="s">
        <v>177</v>
      </c>
    </row>
    <row r="275" ht="15.75" customHeight="1">
      <c r="A275" s="4" t="s">
        <v>862</v>
      </c>
      <c r="B275" s="4" t="s">
        <v>863</v>
      </c>
      <c r="C275" s="4" t="str">
        <f>IFERROR(__xludf.DUMMYFUNCTION("GOOGLETRANSLATE(B275, ""RO"", ""EN"")"),"Could you tell us if ... you have a spiritual?")</f>
        <v>Could you tell us if ... you have a spiritual?</v>
      </c>
      <c r="D275" s="5" t="str">
        <f>IFERROR(__xludf.DUMMYFUNCTION("IF(O275&lt;&gt;"""", GOOGLETRANSLATE(O275, ""RO"", ""EN""), """")"),"")</f>
        <v/>
      </c>
      <c r="E275" s="6" t="str">
        <f>IFERROR(__xludf.DUMMYFUNCTION("IF(P275&lt;&gt;"""", GOOGLETRANSLATE(P275, ""RO"", ""EN""), """")"),"Yes")</f>
        <v>Yes</v>
      </c>
      <c r="F275" s="5" t="str">
        <f>IFERROR(__xludf.DUMMYFUNCTION("IF(Q275&lt;&gt;"""", GOOGLETRANSLATE(Q275, ""RO"", ""EN""), """")"),"Not")</f>
        <v>Not</v>
      </c>
      <c r="G275" s="5" t="str">
        <f>IFERROR(__xludf.DUMMYFUNCTION("IF(R275&lt;&gt;"""", GOOGLETRANSLATE(R275, ""RO"", ""EN""), """")"),"")</f>
        <v/>
      </c>
      <c r="H275" s="5" t="str">
        <f>IFERROR(__xludf.DUMMYFUNCTION("IF(U275&lt;&gt;"""", GOOGLETRANSLATE(U275, ""RO"", ""EN""), """")"),"")</f>
        <v/>
      </c>
      <c r="I275" s="5" t="str">
        <f>IFERROR(__xludf.DUMMYFUNCTION("IF(V275&lt;&gt;"""", GOOGLETRANSLATE(V275, ""RO"", ""EN""), """")"),"")</f>
        <v/>
      </c>
      <c r="J275" s="5" t="str">
        <f>IFERROR(__xludf.DUMMYFUNCTION("IF(W275&lt;&gt;"""", GOOGLETRANSLATE(W275, ""RO"", ""EN""), """")"),"")</f>
        <v/>
      </c>
      <c r="K275" s="5" t="str">
        <f>IFERROR(__xludf.DUMMYFUNCTION("IF(X275&lt;&gt;"""", GOOGLETRANSLATE(X275, ""RO"", ""EN""), """")"),"")</f>
        <v/>
      </c>
      <c r="L275" s="5" t="str">
        <f>IFERROR(__xludf.DUMMYFUNCTION("IF(S275&lt;&gt;"""", GOOGLETRANSLATE(S275, ""RO"", ""EN""), """")"),"")</f>
        <v/>
      </c>
      <c r="M275" s="5" t="str">
        <f>IFERROR(__xludf.DUMMYFUNCTION("IF(T275&lt;&gt;"""", GOOGLETRANSLATE(T275, ""RO"", ""EN""), """")"),"No.")</f>
        <v>No.</v>
      </c>
      <c r="N275" s="5" t="str">
        <f>IFERROR(__xludf.DUMMYFUNCTION("IF(Y275&lt;&gt;"""", GOOGLETRANSLATE(Y275, ""RO"", ""EN""), """")"),"")</f>
        <v/>
      </c>
      <c r="P275" s="4" t="s">
        <v>639</v>
      </c>
      <c r="Q275" s="4" t="s">
        <v>640</v>
      </c>
      <c r="T275" s="4" t="s">
        <v>104</v>
      </c>
    </row>
    <row r="276" ht="15.75" customHeight="1">
      <c r="A276" s="4" t="s">
        <v>864</v>
      </c>
      <c r="B276" s="4" t="s">
        <v>865</v>
      </c>
      <c r="C276" s="4" t="str">
        <f>IFERROR(__xludf.DUMMYFUNCTION("GOOGLETRANSLATE(B276, ""RO"", ""EN"")"),"Do you contribute regularly to the church you belong to?")</f>
        <v>Do you contribute regularly to the church you belong to?</v>
      </c>
      <c r="D276" s="5" t="str">
        <f>IFERROR(__xludf.DUMMYFUNCTION("IF(O276&lt;&gt;"""", GOOGLETRANSLATE(O276, ""RO"", ""EN""), """")"),"")</f>
        <v/>
      </c>
      <c r="E276" s="6" t="str">
        <f>IFERROR(__xludf.DUMMYFUNCTION("IF(P276&lt;&gt;"""", GOOGLETRANSLATE(P276, ""RO"", ""EN""), """")"),"Yes")</f>
        <v>Yes</v>
      </c>
      <c r="F276" s="5" t="str">
        <f>IFERROR(__xludf.DUMMYFUNCTION("IF(Q276&lt;&gt;"""", GOOGLETRANSLATE(Q276, ""RO"", ""EN""), """")"),"Not")</f>
        <v>Not</v>
      </c>
      <c r="G276" s="5" t="str">
        <f>IFERROR(__xludf.DUMMYFUNCTION("IF(R276&lt;&gt;"""", GOOGLETRANSLATE(R276, ""RO"", ""EN""), """")"),"")</f>
        <v/>
      </c>
      <c r="H276" s="5" t="str">
        <f>IFERROR(__xludf.DUMMYFUNCTION("IF(U276&lt;&gt;"""", GOOGLETRANSLATE(U276, ""RO"", ""EN""), """")"),"")</f>
        <v/>
      </c>
      <c r="I276" s="5" t="str">
        <f>IFERROR(__xludf.DUMMYFUNCTION("IF(V276&lt;&gt;"""", GOOGLETRANSLATE(V276, ""RO"", ""EN""), """")"),"")</f>
        <v/>
      </c>
      <c r="J276" s="5" t="str">
        <f>IFERROR(__xludf.DUMMYFUNCTION("IF(W276&lt;&gt;"""", GOOGLETRANSLATE(W276, ""RO"", ""EN""), """")"),"")</f>
        <v/>
      </c>
      <c r="K276" s="5" t="str">
        <f>IFERROR(__xludf.DUMMYFUNCTION("IF(X276&lt;&gt;"""", GOOGLETRANSLATE(X276, ""RO"", ""EN""), """")"),"")</f>
        <v/>
      </c>
      <c r="L276" s="5" t="str">
        <f>IFERROR(__xludf.DUMMYFUNCTION("IF(S276&lt;&gt;"""", GOOGLETRANSLATE(S276, ""RO"", ""EN""), """")"),"")</f>
        <v/>
      </c>
      <c r="M276" s="5" t="str">
        <f>IFERROR(__xludf.DUMMYFUNCTION("IF(T276&lt;&gt;"""", GOOGLETRANSLATE(T276, ""RO"", ""EN""), """")"),"No.")</f>
        <v>No.</v>
      </c>
      <c r="N276" s="5" t="str">
        <f>IFERROR(__xludf.DUMMYFUNCTION("IF(Y276&lt;&gt;"""", GOOGLETRANSLATE(Y276, ""RO"", ""EN""), """")"),"")</f>
        <v/>
      </c>
      <c r="P276" s="4" t="s">
        <v>639</v>
      </c>
      <c r="Q276" s="4" t="s">
        <v>640</v>
      </c>
      <c r="T276" s="4" t="s">
        <v>104</v>
      </c>
    </row>
    <row r="277" ht="15.75" customHeight="1">
      <c r="A277" s="4" t="s">
        <v>866</v>
      </c>
      <c r="B277" s="4" t="s">
        <v>867</v>
      </c>
      <c r="C277" s="4" t="str">
        <f>IFERROR(__xludf.DUMMYFUNCTION("GOOGLETRANSLATE(B277, ""RO"", ""EN"")"),"Do you confess periodically?")</f>
        <v>Do you confess periodically?</v>
      </c>
      <c r="D277" s="5" t="str">
        <f>IFERROR(__xludf.DUMMYFUNCTION("IF(O277&lt;&gt;"""", GOOGLETRANSLATE(O277, ""RO"", ""EN""), """")"),"")</f>
        <v/>
      </c>
      <c r="E277" s="6" t="str">
        <f>IFERROR(__xludf.DUMMYFUNCTION("IF(P277&lt;&gt;"""", GOOGLETRANSLATE(P277, ""RO"", ""EN""), """")"),"Yes")</f>
        <v>Yes</v>
      </c>
      <c r="F277" s="5" t="str">
        <f>IFERROR(__xludf.DUMMYFUNCTION("IF(Q277&lt;&gt;"""", GOOGLETRANSLATE(Q277, ""RO"", ""EN""), """")"),"Not")</f>
        <v>Not</v>
      </c>
      <c r="G277" s="5" t="str">
        <f>IFERROR(__xludf.DUMMYFUNCTION("IF(R277&lt;&gt;"""", GOOGLETRANSLATE(R277, ""RO"", ""EN""), """")"),"")</f>
        <v/>
      </c>
      <c r="H277" s="5" t="str">
        <f>IFERROR(__xludf.DUMMYFUNCTION("IF(U277&lt;&gt;"""", GOOGLETRANSLATE(U277, ""RO"", ""EN""), """")"),"")</f>
        <v/>
      </c>
      <c r="I277" s="5" t="str">
        <f>IFERROR(__xludf.DUMMYFUNCTION("IF(V277&lt;&gt;"""", GOOGLETRANSLATE(V277, ""RO"", ""EN""), """")"),"")</f>
        <v/>
      </c>
      <c r="J277" s="5" t="str">
        <f>IFERROR(__xludf.DUMMYFUNCTION("IF(W277&lt;&gt;"""", GOOGLETRANSLATE(W277, ""RO"", ""EN""), """")"),"")</f>
        <v/>
      </c>
      <c r="K277" s="5" t="str">
        <f>IFERROR(__xludf.DUMMYFUNCTION("IF(X277&lt;&gt;"""", GOOGLETRANSLATE(X277, ""RO"", ""EN""), """")"),"")</f>
        <v/>
      </c>
      <c r="L277" s="5" t="str">
        <f>IFERROR(__xludf.DUMMYFUNCTION("IF(S277&lt;&gt;"""", GOOGLETRANSLATE(S277, ""RO"", ""EN""), """")"),"")</f>
        <v/>
      </c>
      <c r="M277" s="5" t="str">
        <f>IFERROR(__xludf.DUMMYFUNCTION("IF(T277&lt;&gt;"""", GOOGLETRANSLATE(T277, ""RO"", ""EN""), """")"),"No.")</f>
        <v>No.</v>
      </c>
      <c r="N277" s="5" t="str">
        <f>IFERROR(__xludf.DUMMYFUNCTION("IF(Y277&lt;&gt;"""", GOOGLETRANSLATE(Y277, ""RO"", ""EN""), """")"),"")</f>
        <v/>
      </c>
      <c r="P277" s="4" t="s">
        <v>639</v>
      </c>
      <c r="Q277" s="4" t="s">
        <v>640</v>
      </c>
      <c r="T277" s="4" t="s">
        <v>104</v>
      </c>
    </row>
    <row r="278" ht="15.75" customHeight="1">
      <c r="A278" s="4" t="s">
        <v>868</v>
      </c>
      <c r="B278" s="4" t="s">
        <v>869</v>
      </c>
      <c r="C278" s="4" t="str">
        <f>IFERROR(__xludf.DUMMYFUNCTION("GOOGLETRANSLATE(B278, ""RO"", ""EN"")"),"Do you have an icon in the house?")</f>
        <v>Do you have an icon in the house?</v>
      </c>
      <c r="D278" s="5" t="str">
        <f>IFERROR(__xludf.DUMMYFUNCTION("IF(O278&lt;&gt;"""", GOOGLETRANSLATE(O278, ""RO"", ""EN""), """")"),"")</f>
        <v/>
      </c>
      <c r="E278" s="6" t="str">
        <f>IFERROR(__xludf.DUMMYFUNCTION("IF(P278&lt;&gt;"""", GOOGLETRANSLATE(P278, ""RO"", ""EN""), """")"),"Yes")</f>
        <v>Yes</v>
      </c>
      <c r="F278" s="5" t="str">
        <f>IFERROR(__xludf.DUMMYFUNCTION("IF(Q278&lt;&gt;"""", GOOGLETRANSLATE(Q278, ""RO"", ""EN""), """")"),"Not")</f>
        <v>Not</v>
      </c>
      <c r="G278" s="5" t="str">
        <f>IFERROR(__xludf.DUMMYFUNCTION("IF(R278&lt;&gt;"""", GOOGLETRANSLATE(R278, ""RO"", ""EN""), """")"),"")</f>
        <v/>
      </c>
      <c r="H278" s="5" t="str">
        <f>IFERROR(__xludf.DUMMYFUNCTION("IF(U278&lt;&gt;"""", GOOGLETRANSLATE(U278, ""RO"", ""EN""), """")"),"")</f>
        <v/>
      </c>
      <c r="I278" s="5" t="str">
        <f>IFERROR(__xludf.DUMMYFUNCTION("IF(V278&lt;&gt;"""", GOOGLETRANSLATE(V278, ""RO"", ""EN""), """")"),"")</f>
        <v/>
      </c>
      <c r="J278" s="5" t="str">
        <f>IFERROR(__xludf.DUMMYFUNCTION("IF(W278&lt;&gt;"""", GOOGLETRANSLATE(W278, ""RO"", ""EN""), """")"),"")</f>
        <v/>
      </c>
      <c r="K278" s="5" t="str">
        <f>IFERROR(__xludf.DUMMYFUNCTION("IF(X278&lt;&gt;"""", GOOGLETRANSLATE(X278, ""RO"", ""EN""), """")"),"")</f>
        <v/>
      </c>
      <c r="L278" s="5" t="str">
        <f>IFERROR(__xludf.DUMMYFUNCTION("IF(S278&lt;&gt;"""", GOOGLETRANSLATE(S278, ""RO"", ""EN""), """")"),"")</f>
        <v/>
      </c>
      <c r="M278" s="5" t="str">
        <f>IFERROR(__xludf.DUMMYFUNCTION("IF(T278&lt;&gt;"""", GOOGLETRANSLATE(T278, ""RO"", ""EN""), """")"),"No.")</f>
        <v>No.</v>
      </c>
      <c r="N278" s="5" t="str">
        <f>IFERROR(__xludf.DUMMYFUNCTION("IF(Y278&lt;&gt;"""", GOOGLETRANSLATE(Y278, ""RO"", ""EN""), """")"),"")</f>
        <v/>
      </c>
      <c r="P278" s="4" t="s">
        <v>639</v>
      </c>
      <c r="Q278" s="4" t="s">
        <v>640</v>
      </c>
      <c r="T278" s="4" t="s">
        <v>104</v>
      </c>
    </row>
    <row r="279" ht="15.75" customHeight="1">
      <c r="A279" s="4" t="s">
        <v>870</v>
      </c>
      <c r="B279" s="4" t="s">
        <v>871</v>
      </c>
      <c r="C279" s="4" t="str">
        <f>IFERROR(__xludf.DUMMYFUNCTION("GOOGLETRANSLATE(B279, ""RO"", ""EN"")"),"Get used to going to the graves of deceased relatives periodically?")</f>
        <v>Get used to going to the graves of deceased relatives periodically?</v>
      </c>
      <c r="D279" s="5" t="str">
        <f>IFERROR(__xludf.DUMMYFUNCTION("IF(O279&lt;&gt;"""", GOOGLETRANSLATE(O279, ""RO"", ""EN""), """")"),"")</f>
        <v/>
      </c>
      <c r="E279" s="6" t="str">
        <f>IFERROR(__xludf.DUMMYFUNCTION("IF(P279&lt;&gt;"""", GOOGLETRANSLATE(P279, ""RO"", ""EN""), """")"),"Yes")</f>
        <v>Yes</v>
      </c>
      <c r="F279" s="5" t="str">
        <f>IFERROR(__xludf.DUMMYFUNCTION("IF(Q279&lt;&gt;"""", GOOGLETRANSLATE(Q279, ""RO"", ""EN""), """")"),"Not")</f>
        <v>Not</v>
      </c>
      <c r="G279" s="5" t="str">
        <f>IFERROR(__xludf.DUMMYFUNCTION("IF(R279&lt;&gt;"""", GOOGLETRANSLATE(R279, ""RO"", ""EN""), """")"),"")</f>
        <v/>
      </c>
      <c r="H279" s="5" t="str">
        <f>IFERROR(__xludf.DUMMYFUNCTION("IF(U279&lt;&gt;"""", GOOGLETRANSLATE(U279, ""RO"", ""EN""), """")"),"")</f>
        <v/>
      </c>
      <c r="I279" s="5" t="str">
        <f>IFERROR(__xludf.DUMMYFUNCTION("IF(V279&lt;&gt;"""", GOOGLETRANSLATE(V279, ""RO"", ""EN""), """")"),"")</f>
        <v/>
      </c>
      <c r="J279" s="5" t="str">
        <f>IFERROR(__xludf.DUMMYFUNCTION("IF(W279&lt;&gt;"""", GOOGLETRANSLATE(W279, ""RO"", ""EN""), """")"),"")</f>
        <v/>
      </c>
      <c r="K279" s="5" t="str">
        <f>IFERROR(__xludf.DUMMYFUNCTION("IF(X279&lt;&gt;"""", GOOGLETRANSLATE(X279, ""RO"", ""EN""), """")"),"")</f>
        <v/>
      </c>
      <c r="L279" s="5" t="str">
        <f>IFERROR(__xludf.DUMMYFUNCTION("IF(S279&lt;&gt;"""", GOOGLETRANSLATE(S279, ""RO"", ""EN""), """")"),"")</f>
        <v/>
      </c>
      <c r="M279" s="5" t="str">
        <f>IFERROR(__xludf.DUMMYFUNCTION("IF(T279&lt;&gt;"""", GOOGLETRANSLATE(T279, ""RO"", ""EN""), """")"),"No.")</f>
        <v>No.</v>
      </c>
      <c r="N279" s="5" t="str">
        <f>IFERROR(__xludf.DUMMYFUNCTION("IF(Y279&lt;&gt;"""", GOOGLETRANSLATE(Y279, ""RO"", ""EN""), """")"),"")</f>
        <v/>
      </c>
      <c r="P279" s="4" t="s">
        <v>639</v>
      </c>
      <c r="Q279" s="4" t="s">
        <v>640</v>
      </c>
      <c r="T279" s="4" t="s">
        <v>104</v>
      </c>
    </row>
    <row r="280" ht="15.75" customHeight="1">
      <c r="A280" s="4" t="s">
        <v>872</v>
      </c>
      <c r="B280" s="4" t="s">
        <v>873</v>
      </c>
      <c r="C280" s="4" t="str">
        <f>IFERROR(__xludf.DUMMYFUNCTION("GOOGLETRANSLATE(B280, ""RO"", ""EN"")"),"Could you tell us if ... you know how to use your computer?")</f>
        <v>Could you tell us if ... you know how to use your computer?</v>
      </c>
      <c r="D280" s="5" t="str">
        <f>IFERROR(__xludf.DUMMYFUNCTION("IF(O280&lt;&gt;"""", GOOGLETRANSLATE(O280, ""RO"", ""EN""), """")"),"")</f>
        <v/>
      </c>
      <c r="E280" s="6" t="str">
        <f>IFERROR(__xludf.DUMMYFUNCTION("IF(P280&lt;&gt;"""", GOOGLETRANSLATE(P280, ""RO"", ""EN""), """")"),"Yes")</f>
        <v>Yes</v>
      </c>
      <c r="F280" s="5" t="str">
        <f>IFERROR(__xludf.DUMMYFUNCTION("IF(Q280&lt;&gt;"""", GOOGLETRANSLATE(Q280, ""RO"", ""EN""), """")"),"Not")</f>
        <v>Not</v>
      </c>
      <c r="G280" s="5" t="str">
        <f>IFERROR(__xludf.DUMMYFUNCTION("IF(R280&lt;&gt;"""", GOOGLETRANSLATE(R280, ""RO"", ""EN""), """")"),"")</f>
        <v/>
      </c>
      <c r="H280" s="5" t="str">
        <f>IFERROR(__xludf.DUMMYFUNCTION("IF(U280&lt;&gt;"""", GOOGLETRANSLATE(U280, ""RO"", ""EN""), """")"),"")</f>
        <v/>
      </c>
      <c r="I280" s="5" t="str">
        <f>IFERROR(__xludf.DUMMYFUNCTION("IF(V280&lt;&gt;"""", GOOGLETRANSLATE(V280, ""RO"", ""EN""), """")"),"")</f>
        <v/>
      </c>
      <c r="J280" s="5" t="str">
        <f>IFERROR(__xludf.DUMMYFUNCTION("IF(W280&lt;&gt;"""", GOOGLETRANSLATE(W280, ""RO"", ""EN""), """")"),"")</f>
        <v/>
      </c>
      <c r="K280" s="5" t="str">
        <f>IFERROR(__xludf.DUMMYFUNCTION("IF(X280&lt;&gt;"""", GOOGLETRANSLATE(X280, ""RO"", ""EN""), """")"),"")</f>
        <v/>
      </c>
      <c r="L280" s="5" t="str">
        <f>IFERROR(__xludf.DUMMYFUNCTION("IF(S280&lt;&gt;"""", GOOGLETRANSLATE(S280, ""RO"", ""EN""), """")"),"")</f>
        <v/>
      </c>
      <c r="M280" s="5" t="str">
        <f>IFERROR(__xludf.DUMMYFUNCTION("IF(T280&lt;&gt;"""", GOOGLETRANSLATE(T280, ""RO"", ""EN""), """")"),"No.")</f>
        <v>No.</v>
      </c>
      <c r="N280" s="5" t="str">
        <f>IFERROR(__xludf.DUMMYFUNCTION("IF(Y280&lt;&gt;"""", GOOGLETRANSLATE(Y280, ""RO"", ""EN""), """")"),"")</f>
        <v/>
      </c>
      <c r="P280" s="4" t="s">
        <v>639</v>
      </c>
      <c r="Q280" s="4" t="s">
        <v>640</v>
      </c>
      <c r="T280" s="4" t="s">
        <v>104</v>
      </c>
    </row>
    <row r="281" ht="15.75" customHeight="1">
      <c r="A281" s="4" t="s">
        <v>874</v>
      </c>
      <c r="B281" s="4" t="s">
        <v>875</v>
      </c>
      <c r="C281" s="4" t="str">
        <f>IFERROR(__xludf.DUMMYFUNCTION("GOOGLETRANSLATE(B281, ""RO"", ""EN"")"),"Do you know how to browse the Internet?")</f>
        <v>Do you know how to browse the Internet?</v>
      </c>
      <c r="D281" s="5" t="str">
        <f>IFERROR(__xludf.DUMMYFUNCTION("IF(O281&lt;&gt;"""", GOOGLETRANSLATE(O281, ""RO"", ""EN""), """")"),"")</f>
        <v/>
      </c>
      <c r="E281" s="6" t="str">
        <f>IFERROR(__xludf.DUMMYFUNCTION("IF(P281&lt;&gt;"""", GOOGLETRANSLATE(P281, ""RO"", ""EN""), """")"),"Yes")</f>
        <v>Yes</v>
      </c>
      <c r="F281" s="5" t="str">
        <f>IFERROR(__xludf.DUMMYFUNCTION("IF(Q281&lt;&gt;"""", GOOGLETRANSLATE(Q281, ""RO"", ""EN""), """")"),"Not")</f>
        <v>Not</v>
      </c>
      <c r="G281" s="5" t="str">
        <f>IFERROR(__xludf.DUMMYFUNCTION("IF(R281&lt;&gt;"""", GOOGLETRANSLATE(R281, ""RO"", ""EN""), """")"),"")</f>
        <v/>
      </c>
      <c r="H281" s="5" t="str">
        <f>IFERROR(__xludf.DUMMYFUNCTION("IF(U281&lt;&gt;"""", GOOGLETRANSLATE(U281, ""RO"", ""EN""), """")"),"")</f>
        <v/>
      </c>
      <c r="I281" s="5" t="str">
        <f>IFERROR(__xludf.DUMMYFUNCTION("IF(V281&lt;&gt;"""", GOOGLETRANSLATE(V281, ""RO"", ""EN""), """")"),"")</f>
        <v/>
      </c>
      <c r="J281" s="5" t="str">
        <f>IFERROR(__xludf.DUMMYFUNCTION("IF(W281&lt;&gt;"""", GOOGLETRANSLATE(W281, ""RO"", ""EN""), """")"),"")</f>
        <v/>
      </c>
      <c r="K281" s="5" t="str">
        <f>IFERROR(__xludf.DUMMYFUNCTION("IF(X281&lt;&gt;"""", GOOGLETRANSLATE(X281, ""RO"", ""EN""), """")"),"")</f>
        <v/>
      </c>
      <c r="L281" s="5" t="str">
        <f>IFERROR(__xludf.DUMMYFUNCTION("IF(S281&lt;&gt;"""", GOOGLETRANSLATE(S281, ""RO"", ""EN""), """")"),"")</f>
        <v/>
      </c>
      <c r="M281" s="5" t="str">
        <f>IFERROR(__xludf.DUMMYFUNCTION("IF(T281&lt;&gt;"""", GOOGLETRANSLATE(T281, ""RO"", ""EN""), """")"),"No.")</f>
        <v>No.</v>
      </c>
      <c r="N281" s="5" t="str">
        <f>IFERROR(__xludf.DUMMYFUNCTION("IF(Y281&lt;&gt;"""", GOOGLETRANSLATE(Y281, ""RO"", ""EN""), """")"),"")</f>
        <v/>
      </c>
      <c r="P281" s="4" t="s">
        <v>639</v>
      </c>
      <c r="Q281" s="4" t="s">
        <v>640</v>
      </c>
      <c r="T281" s="4" t="s">
        <v>104</v>
      </c>
    </row>
    <row r="282" ht="15.75" customHeight="1">
      <c r="A282" s="4" t="s">
        <v>876</v>
      </c>
      <c r="B282" s="4" t="s">
        <v>877</v>
      </c>
      <c r="C282" s="4" t="str">
        <f>IFERROR(__xludf.DUMMYFUNCTION("GOOGLETRANSLATE(B282, ""RO"", ""EN"")"),"Do you have a driving license?")</f>
        <v>Do you have a driving license?</v>
      </c>
      <c r="D282" s="5" t="str">
        <f>IFERROR(__xludf.DUMMYFUNCTION("IF(O282&lt;&gt;"""", GOOGLETRANSLATE(O282, ""RO"", ""EN""), """")"),"")</f>
        <v/>
      </c>
      <c r="E282" s="6" t="str">
        <f>IFERROR(__xludf.DUMMYFUNCTION("IF(P282&lt;&gt;"""", GOOGLETRANSLATE(P282, ""RO"", ""EN""), """")"),"Yes")</f>
        <v>Yes</v>
      </c>
      <c r="F282" s="5" t="str">
        <f>IFERROR(__xludf.DUMMYFUNCTION("IF(Q282&lt;&gt;"""", GOOGLETRANSLATE(Q282, ""RO"", ""EN""), """")"),"Not")</f>
        <v>Not</v>
      </c>
      <c r="G282" s="5" t="str">
        <f>IFERROR(__xludf.DUMMYFUNCTION("IF(R282&lt;&gt;"""", GOOGLETRANSLATE(R282, ""RO"", ""EN""), """")"),"")</f>
        <v/>
      </c>
      <c r="H282" s="5" t="str">
        <f>IFERROR(__xludf.DUMMYFUNCTION("IF(U282&lt;&gt;"""", GOOGLETRANSLATE(U282, ""RO"", ""EN""), """")"),"")</f>
        <v/>
      </c>
      <c r="I282" s="5" t="str">
        <f>IFERROR(__xludf.DUMMYFUNCTION("IF(V282&lt;&gt;"""", GOOGLETRANSLATE(V282, ""RO"", ""EN""), """")"),"")</f>
        <v/>
      </c>
      <c r="J282" s="5" t="str">
        <f>IFERROR(__xludf.DUMMYFUNCTION("IF(W282&lt;&gt;"""", GOOGLETRANSLATE(W282, ""RO"", ""EN""), """")"),"")</f>
        <v/>
      </c>
      <c r="K282" s="5" t="str">
        <f>IFERROR(__xludf.DUMMYFUNCTION("IF(X282&lt;&gt;"""", GOOGLETRANSLATE(X282, ""RO"", ""EN""), """")"),"")</f>
        <v/>
      </c>
      <c r="L282" s="5" t="str">
        <f>IFERROR(__xludf.DUMMYFUNCTION("IF(S282&lt;&gt;"""", GOOGLETRANSLATE(S282, ""RO"", ""EN""), """")"),"")</f>
        <v/>
      </c>
      <c r="M282" s="5" t="str">
        <f>IFERROR(__xludf.DUMMYFUNCTION("IF(T282&lt;&gt;"""", GOOGLETRANSLATE(T282, ""RO"", ""EN""), """")"),"No.")</f>
        <v>No.</v>
      </c>
      <c r="N282" s="5" t="str">
        <f>IFERROR(__xludf.DUMMYFUNCTION("IF(Y282&lt;&gt;"""", GOOGLETRANSLATE(Y282, ""RO"", ""EN""), """")"),"")</f>
        <v/>
      </c>
      <c r="P282" s="4" t="s">
        <v>639</v>
      </c>
      <c r="Q282" s="4" t="s">
        <v>640</v>
      </c>
      <c r="T282" s="4" t="s">
        <v>104</v>
      </c>
    </row>
    <row r="283" ht="15.75" customHeight="1">
      <c r="A283" s="4" t="s">
        <v>878</v>
      </c>
      <c r="B283" s="4" t="s">
        <v>879</v>
      </c>
      <c r="C283" s="4" t="str">
        <f>IFERROR(__xludf.DUMMYFUNCTION("GOOGLETRANSLATE(B283, ""RO"", ""EN"")"),"Do you have any account or card to any bank or check?")</f>
        <v>Do you have any account or card to any bank or check?</v>
      </c>
      <c r="D283" s="5" t="str">
        <f>IFERROR(__xludf.DUMMYFUNCTION("IF(O283&lt;&gt;"""", GOOGLETRANSLATE(O283, ""RO"", ""EN""), """")"),"")</f>
        <v/>
      </c>
      <c r="E283" s="6" t="str">
        <f>IFERROR(__xludf.DUMMYFUNCTION("IF(P283&lt;&gt;"""", GOOGLETRANSLATE(P283, ""RO"", ""EN""), """")"),"Yes")</f>
        <v>Yes</v>
      </c>
      <c r="F283" s="5" t="str">
        <f>IFERROR(__xludf.DUMMYFUNCTION("IF(Q283&lt;&gt;"""", GOOGLETRANSLATE(Q283, ""RO"", ""EN""), """")"),"Not")</f>
        <v>Not</v>
      </c>
      <c r="G283" s="5" t="str">
        <f>IFERROR(__xludf.DUMMYFUNCTION("IF(R283&lt;&gt;"""", GOOGLETRANSLATE(R283, ""RO"", ""EN""), """")"),"")</f>
        <v/>
      </c>
      <c r="H283" s="5" t="str">
        <f>IFERROR(__xludf.DUMMYFUNCTION("IF(U283&lt;&gt;"""", GOOGLETRANSLATE(U283, ""RO"", ""EN""), """")"),"")</f>
        <v/>
      </c>
      <c r="I283" s="5" t="str">
        <f>IFERROR(__xludf.DUMMYFUNCTION("IF(V283&lt;&gt;"""", GOOGLETRANSLATE(V283, ""RO"", ""EN""), """")"),"")</f>
        <v/>
      </c>
      <c r="J283" s="5" t="str">
        <f>IFERROR(__xludf.DUMMYFUNCTION("IF(W283&lt;&gt;"""", GOOGLETRANSLATE(W283, ""RO"", ""EN""), """")"),"")</f>
        <v/>
      </c>
      <c r="K283" s="5" t="str">
        <f>IFERROR(__xludf.DUMMYFUNCTION("IF(X283&lt;&gt;"""", GOOGLETRANSLATE(X283, ""RO"", ""EN""), """")"),"")</f>
        <v/>
      </c>
      <c r="L283" s="5" t="str">
        <f>IFERROR(__xludf.DUMMYFUNCTION("IF(S283&lt;&gt;"""", GOOGLETRANSLATE(S283, ""RO"", ""EN""), """")"),"")</f>
        <v/>
      </c>
      <c r="M283" s="5" t="str">
        <f>IFERROR(__xludf.DUMMYFUNCTION("IF(T283&lt;&gt;"""", GOOGLETRANSLATE(T283, ""RO"", ""EN""), """")"),"No.")</f>
        <v>No.</v>
      </c>
      <c r="N283" s="5" t="str">
        <f>IFERROR(__xludf.DUMMYFUNCTION("IF(Y283&lt;&gt;"""", GOOGLETRANSLATE(Y283, ""RO"", ""EN""), """")"),"")</f>
        <v/>
      </c>
      <c r="P283" s="4" t="s">
        <v>639</v>
      </c>
      <c r="Q283" s="4" t="s">
        <v>640</v>
      </c>
      <c r="T283" s="4" t="s">
        <v>104</v>
      </c>
    </row>
    <row r="284" ht="15.75" customHeight="1">
      <c r="A284" s="4" t="s">
        <v>880</v>
      </c>
      <c r="B284" s="4" t="s">
        <v>881</v>
      </c>
      <c r="C284" s="4" t="str">
        <f>IFERROR(__xludf.DUMMYFUNCTION("GOOGLETRANSLATE(B284, ""RO"", ""EN"")"),"Apart from your mother tongue, do you know another language well enough to take part in a conversation?")</f>
        <v>Apart from your mother tongue, do you know another language well enough to take part in a conversation?</v>
      </c>
      <c r="D284" s="5" t="str">
        <f>IFERROR(__xludf.DUMMYFUNCTION("IF(O284&lt;&gt;"""", GOOGLETRANSLATE(O284, ""RO"", ""EN""), """")"),"")</f>
        <v/>
      </c>
      <c r="E284" s="6" t="str">
        <f>IFERROR(__xludf.DUMMYFUNCTION("IF(P284&lt;&gt;"""", GOOGLETRANSLATE(P284, ""RO"", ""EN""), """")"),"Yes")</f>
        <v>Yes</v>
      </c>
      <c r="F284" s="5" t="str">
        <f>IFERROR(__xludf.DUMMYFUNCTION("IF(Q284&lt;&gt;"""", GOOGLETRANSLATE(Q284, ""RO"", ""EN""), """")"),"Not")</f>
        <v>Not</v>
      </c>
      <c r="G284" s="5" t="str">
        <f>IFERROR(__xludf.DUMMYFUNCTION("IF(R284&lt;&gt;"""", GOOGLETRANSLATE(R284, ""RO"", ""EN""), """")"),"")</f>
        <v/>
      </c>
      <c r="H284" s="5" t="str">
        <f>IFERROR(__xludf.DUMMYFUNCTION("IF(U284&lt;&gt;"""", GOOGLETRANSLATE(U284, ""RO"", ""EN""), """")"),"")</f>
        <v/>
      </c>
      <c r="I284" s="5" t="str">
        <f>IFERROR(__xludf.DUMMYFUNCTION("IF(V284&lt;&gt;"""", GOOGLETRANSLATE(V284, ""RO"", ""EN""), """")"),"")</f>
        <v/>
      </c>
      <c r="J284" s="5" t="str">
        <f>IFERROR(__xludf.DUMMYFUNCTION("IF(W284&lt;&gt;"""", GOOGLETRANSLATE(W284, ""RO"", ""EN""), """")"),"")</f>
        <v/>
      </c>
      <c r="K284" s="5" t="str">
        <f>IFERROR(__xludf.DUMMYFUNCTION("IF(X284&lt;&gt;"""", GOOGLETRANSLATE(X284, ""RO"", ""EN""), """")"),"")</f>
        <v/>
      </c>
      <c r="L284" s="5" t="str">
        <f>IFERROR(__xludf.DUMMYFUNCTION("IF(S284&lt;&gt;"""", GOOGLETRANSLATE(S284, ""RO"", ""EN""), """")"),"")</f>
        <v/>
      </c>
      <c r="M284" s="5" t="str">
        <f>IFERROR(__xludf.DUMMYFUNCTION("IF(T284&lt;&gt;"""", GOOGLETRANSLATE(T284, ""RO"", ""EN""), """")"),"No.")</f>
        <v>No.</v>
      </c>
      <c r="N284" s="5" t="str">
        <f>IFERROR(__xludf.DUMMYFUNCTION("IF(Y284&lt;&gt;"""", GOOGLETRANSLATE(Y284, ""RO"", ""EN""), """")"),"")</f>
        <v/>
      </c>
      <c r="P284" s="4" t="s">
        <v>639</v>
      </c>
      <c r="Q284" s="4" t="s">
        <v>640</v>
      </c>
      <c r="T284" s="4" t="s">
        <v>104</v>
      </c>
    </row>
    <row r="285" ht="15.75" customHeight="1">
      <c r="A285" s="4" t="s">
        <v>882</v>
      </c>
      <c r="B285" s="4" t="s">
        <v>883</v>
      </c>
      <c r="C285" s="4" t="str">
        <f>IFERROR(__xludf.DUMMYFUNCTION("GOOGLETRANSLATE(B285, ""RO"", ""EN"")"),"How many members is your household made up?")</f>
        <v>How many members is your household made up?</v>
      </c>
      <c r="D285" s="5" t="str">
        <f>IFERROR(__xludf.DUMMYFUNCTION("IF(O285&lt;&gt;"""", GOOGLETRANSLATE(O285, ""RO"", ""EN""), """")"),"")</f>
        <v/>
      </c>
      <c r="E285" s="6" t="str">
        <f>IFERROR(__xludf.DUMMYFUNCTION("IF(P285&lt;&gt;"""", GOOGLETRANSLATE(P285, ""RO"", ""EN""), """")"),"")</f>
        <v/>
      </c>
      <c r="F285" s="5" t="str">
        <f>IFERROR(__xludf.DUMMYFUNCTION("IF(Q285&lt;&gt;"""", GOOGLETRANSLATE(Q285, ""RO"", ""EN""), """")"),"")</f>
        <v/>
      </c>
      <c r="G285" s="5" t="str">
        <f>IFERROR(__xludf.DUMMYFUNCTION("IF(R285&lt;&gt;"""", GOOGLETRANSLATE(R285, ""RO"", ""EN""), """")"),"")</f>
        <v/>
      </c>
      <c r="H285" s="5" t="str">
        <f>IFERROR(__xludf.DUMMYFUNCTION("IF(U285&lt;&gt;"""", GOOGLETRANSLATE(U285, ""RO"", ""EN""), """")"),"")</f>
        <v/>
      </c>
      <c r="I285" s="5" t="str">
        <f>IFERROR(__xludf.DUMMYFUNCTION("IF(V285&lt;&gt;"""", GOOGLETRANSLATE(V285, ""RO"", ""EN""), """")"),"")</f>
        <v/>
      </c>
      <c r="J285" s="5" t="str">
        <f>IFERROR(__xludf.DUMMYFUNCTION("IF(W285&lt;&gt;"""", GOOGLETRANSLATE(W285, ""RO"", ""EN""), """")"),"")</f>
        <v/>
      </c>
      <c r="K285" s="5" t="str">
        <f>IFERROR(__xludf.DUMMYFUNCTION("IF(X285&lt;&gt;"""", GOOGLETRANSLATE(X285, ""RO"", ""EN""), """")"),"")</f>
        <v/>
      </c>
      <c r="L285" s="5" t="str">
        <f>IFERROR(__xludf.DUMMYFUNCTION("IF(S285&lt;&gt;"""", GOOGLETRANSLATE(S285, ""RO"", ""EN""), """")"),"")</f>
        <v/>
      </c>
      <c r="M285" s="5" t="str">
        <f>IFERROR(__xludf.DUMMYFUNCTION("IF(T285&lt;&gt;"""", GOOGLETRANSLATE(T285, ""RO"", ""EN""), """")"),"")</f>
        <v/>
      </c>
      <c r="N285" s="5" t="str">
        <f>IFERROR(__xludf.DUMMYFUNCTION("IF(Y285&lt;&gt;"""", GOOGLETRANSLATE(Y285, ""RO"", ""EN""), """")"),"")</f>
        <v/>
      </c>
    </row>
    <row r="286" ht="15.75" customHeight="1">
      <c r="A286" s="4" t="s">
        <v>884</v>
      </c>
      <c r="B286" s="4" t="s">
        <v>885</v>
      </c>
      <c r="C286" s="4" t="str">
        <f>IFERROR(__xludf.DUMMYFUNCTION("GOOGLETRANSLATE(B286, ""RO"", ""EN"")"),"How many books do you have in your personal library?")</f>
        <v>How many books do you have in your personal library?</v>
      </c>
      <c r="D286" s="5" t="str">
        <f>IFERROR(__xludf.DUMMYFUNCTION("IF(O286&lt;&gt;"""", GOOGLETRANSLATE(O286, ""RO"", ""EN""), """")"),"")</f>
        <v/>
      </c>
      <c r="E286" s="6" t="str">
        <f>IFERROR(__xludf.DUMMYFUNCTION("IF(P286&lt;&gt;"""", GOOGLETRANSLATE(P286, ""RO"", ""EN""), """")"),"")</f>
        <v/>
      </c>
      <c r="F286" s="5" t="str">
        <f>IFERROR(__xludf.DUMMYFUNCTION("IF(Q286&lt;&gt;"""", GOOGLETRANSLATE(Q286, ""RO"", ""EN""), """")"),"")</f>
        <v/>
      </c>
      <c r="G286" s="5" t="str">
        <f>IFERROR(__xludf.DUMMYFUNCTION("IF(R286&lt;&gt;"""", GOOGLETRANSLATE(R286, ""RO"", ""EN""), """")"),"")</f>
        <v/>
      </c>
      <c r="H286" s="5" t="str">
        <f>IFERROR(__xludf.DUMMYFUNCTION("IF(U286&lt;&gt;"""", GOOGLETRANSLATE(U286, ""RO"", ""EN""), """")"),"")</f>
        <v/>
      </c>
      <c r="I286" s="5" t="str">
        <f>IFERROR(__xludf.DUMMYFUNCTION("IF(V286&lt;&gt;"""", GOOGLETRANSLATE(V286, ""RO"", ""EN""), """")"),"")</f>
        <v/>
      </c>
      <c r="J286" s="5" t="str">
        <f>IFERROR(__xludf.DUMMYFUNCTION("IF(W286&lt;&gt;"""", GOOGLETRANSLATE(W286, ""RO"", ""EN""), """")"),"")</f>
        <v/>
      </c>
      <c r="K286" s="5" t="str">
        <f>IFERROR(__xludf.DUMMYFUNCTION("IF(X286&lt;&gt;"""", GOOGLETRANSLATE(X286, ""RO"", ""EN""), """")"),"")</f>
        <v/>
      </c>
      <c r="L286" s="5" t="str">
        <f>IFERROR(__xludf.DUMMYFUNCTION("IF(S286&lt;&gt;"""", GOOGLETRANSLATE(S286, ""RO"", ""EN""), """")"),"")</f>
        <v/>
      </c>
      <c r="M286" s="5" t="str">
        <f>IFERROR(__xludf.DUMMYFUNCTION("IF(T286&lt;&gt;"""", GOOGLETRANSLATE(T286, ""RO"", ""EN""), """")"),"")</f>
        <v/>
      </c>
      <c r="N286" s="5" t="str">
        <f>IFERROR(__xludf.DUMMYFUNCTION("IF(Y286&lt;&gt;"""", GOOGLETRANSLATE(Y286, ""RO"", ""EN""), """")"),"")</f>
        <v/>
      </c>
    </row>
    <row r="287" ht="15.75" customHeight="1">
      <c r="A287" s="4" t="s">
        <v>886</v>
      </c>
      <c r="B287" s="4" t="s">
        <v>887</v>
      </c>
      <c r="C287" s="4" t="str">
        <f>IFERROR(__xludf.DUMMYFUNCTION("GOOGLETRANSLATE(B287, ""RO"", ""EN"")"),"Do you have in the household in working order ...? car (including from the company)")</f>
        <v>Do you have in the household in working order ...? car (including from the company)</v>
      </c>
      <c r="D287" s="5" t="str">
        <f>IFERROR(__xludf.DUMMYFUNCTION("IF(O287&lt;&gt;"""", GOOGLETRANSLATE(O287, ""RO"", ""EN""), """")"),"")</f>
        <v/>
      </c>
      <c r="E287" s="6" t="str">
        <f>IFERROR(__xludf.DUMMYFUNCTION("IF(P287&lt;&gt;"""", GOOGLETRANSLATE(P287, ""RO"", ""EN""), """")"),"Yes")</f>
        <v>Yes</v>
      </c>
      <c r="F287" s="5" t="str">
        <f>IFERROR(__xludf.DUMMYFUNCTION("IF(Q287&lt;&gt;"""", GOOGLETRANSLATE(Q287, ""RO"", ""EN""), """")"),"Not")</f>
        <v>Not</v>
      </c>
      <c r="G287" s="5" t="str">
        <f>IFERROR(__xludf.DUMMYFUNCTION("IF(R287&lt;&gt;"""", GOOGLETRANSLATE(R287, ""RO"", ""EN""), """")"),"")</f>
        <v/>
      </c>
      <c r="H287" s="5" t="str">
        <f>IFERROR(__xludf.DUMMYFUNCTION("IF(U287&lt;&gt;"""", GOOGLETRANSLATE(U287, ""RO"", ""EN""), """")"),"")</f>
        <v/>
      </c>
      <c r="I287" s="5" t="str">
        <f>IFERROR(__xludf.DUMMYFUNCTION("IF(V287&lt;&gt;"""", GOOGLETRANSLATE(V287, ""RO"", ""EN""), """")"),"")</f>
        <v/>
      </c>
      <c r="J287" s="5" t="str">
        <f>IFERROR(__xludf.DUMMYFUNCTION("IF(W287&lt;&gt;"""", GOOGLETRANSLATE(W287, ""RO"", ""EN""), """")"),"")</f>
        <v/>
      </c>
      <c r="K287" s="5" t="str">
        <f>IFERROR(__xludf.DUMMYFUNCTION("IF(X287&lt;&gt;"""", GOOGLETRANSLATE(X287, ""RO"", ""EN""), """")"),"")</f>
        <v/>
      </c>
      <c r="L287" s="5" t="str">
        <f>IFERROR(__xludf.DUMMYFUNCTION("IF(S287&lt;&gt;"""", GOOGLETRANSLATE(S287, ""RO"", ""EN""), """")"),"")</f>
        <v/>
      </c>
      <c r="M287" s="5" t="str">
        <f>IFERROR(__xludf.DUMMYFUNCTION("IF(T287&lt;&gt;"""", GOOGLETRANSLATE(T287, ""RO"", ""EN""), """")"),"No.")</f>
        <v>No.</v>
      </c>
      <c r="N287" s="5" t="str">
        <f>IFERROR(__xludf.DUMMYFUNCTION("IF(Y287&lt;&gt;"""", GOOGLETRANSLATE(Y287, ""RO"", ""EN""), """")"),"")</f>
        <v/>
      </c>
      <c r="P287" s="4" t="s">
        <v>639</v>
      </c>
      <c r="Q287" s="4" t="s">
        <v>640</v>
      </c>
      <c r="T287" s="4" t="s">
        <v>104</v>
      </c>
    </row>
    <row r="288" ht="15.75" customHeight="1">
      <c r="A288" s="4" t="s">
        <v>888</v>
      </c>
      <c r="B288" s="4" t="s">
        <v>889</v>
      </c>
      <c r="C288" s="4" t="str">
        <f>IFERROR(__xludf.DUMMYFUNCTION("GOOGLETRANSLATE(B288, ""RO"", ""EN"")"),"mobile phone (including from the company)")</f>
        <v>mobile phone (including from the company)</v>
      </c>
      <c r="D288" s="5" t="str">
        <f>IFERROR(__xludf.DUMMYFUNCTION("IF(O288&lt;&gt;"""", GOOGLETRANSLATE(O288, ""RO"", ""EN""), """")"),"")</f>
        <v/>
      </c>
      <c r="E288" s="6" t="str">
        <f>IFERROR(__xludf.DUMMYFUNCTION("IF(P288&lt;&gt;"""", GOOGLETRANSLATE(P288, ""RO"", ""EN""), """")"),"Yes")</f>
        <v>Yes</v>
      </c>
      <c r="F288" s="5" t="str">
        <f>IFERROR(__xludf.DUMMYFUNCTION("IF(Q288&lt;&gt;"""", GOOGLETRANSLATE(Q288, ""RO"", ""EN""), """")"),"Not")</f>
        <v>Not</v>
      </c>
      <c r="G288" s="5" t="str">
        <f>IFERROR(__xludf.DUMMYFUNCTION("IF(R288&lt;&gt;"""", GOOGLETRANSLATE(R288, ""RO"", ""EN""), """")"),"")</f>
        <v/>
      </c>
      <c r="H288" s="5" t="str">
        <f>IFERROR(__xludf.DUMMYFUNCTION("IF(U288&lt;&gt;"""", GOOGLETRANSLATE(U288, ""RO"", ""EN""), """")"),"")</f>
        <v/>
      </c>
      <c r="I288" s="5" t="str">
        <f>IFERROR(__xludf.DUMMYFUNCTION("IF(V288&lt;&gt;"""", GOOGLETRANSLATE(V288, ""RO"", ""EN""), """")"),"")</f>
        <v/>
      </c>
      <c r="J288" s="5" t="str">
        <f>IFERROR(__xludf.DUMMYFUNCTION("IF(W288&lt;&gt;"""", GOOGLETRANSLATE(W288, ""RO"", ""EN""), """")"),"")</f>
        <v/>
      </c>
      <c r="K288" s="5" t="str">
        <f>IFERROR(__xludf.DUMMYFUNCTION("IF(X288&lt;&gt;"""", GOOGLETRANSLATE(X288, ""RO"", ""EN""), """")"),"")</f>
        <v/>
      </c>
      <c r="L288" s="5" t="str">
        <f>IFERROR(__xludf.DUMMYFUNCTION("IF(S288&lt;&gt;"""", GOOGLETRANSLATE(S288, ""RO"", ""EN""), """")"),"")</f>
        <v/>
      </c>
      <c r="M288" s="5" t="str">
        <f>IFERROR(__xludf.DUMMYFUNCTION("IF(T288&lt;&gt;"""", GOOGLETRANSLATE(T288, ""RO"", ""EN""), """")"),"No.")</f>
        <v>No.</v>
      </c>
      <c r="N288" s="5" t="str">
        <f>IFERROR(__xludf.DUMMYFUNCTION("IF(Y288&lt;&gt;"""", GOOGLETRANSLATE(Y288, ""RO"", ""EN""), """")"),"")</f>
        <v/>
      </c>
      <c r="P288" s="4" t="s">
        <v>639</v>
      </c>
      <c r="Q288" s="4" t="s">
        <v>640</v>
      </c>
      <c r="T288" s="4" t="s">
        <v>104</v>
      </c>
    </row>
    <row r="289" ht="15.75" customHeight="1">
      <c r="A289" s="4" t="s">
        <v>890</v>
      </c>
      <c r="B289" s="4" t="s">
        <v>891</v>
      </c>
      <c r="C289" s="4" t="str">
        <f>IFERROR(__xludf.DUMMYFUNCTION("GOOGLETRANSLATE(B289, ""RO"", ""EN"")"),"Automatic washing machine")</f>
        <v>Automatic washing machine</v>
      </c>
      <c r="D289" s="5" t="str">
        <f>IFERROR(__xludf.DUMMYFUNCTION("IF(O289&lt;&gt;"""", GOOGLETRANSLATE(O289, ""RO"", ""EN""), """")"),"")</f>
        <v/>
      </c>
      <c r="E289" s="6" t="str">
        <f>IFERROR(__xludf.DUMMYFUNCTION("IF(P289&lt;&gt;"""", GOOGLETRANSLATE(P289, ""RO"", ""EN""), """")"),"Yes")</f>
        <v>Yes</v>
      </c>
      <c r="F289" s="5" t="str">
        <f>IFERROR(__xludf.DUMMYFUNCTION("IF(Q289&lt;&gt;"""", GOOGLETRANSLATE(Q289, ""RO"", ""EN""), """")"),"Not")</f>
        <v>Not</v>
      </c>
      <c r="G289" s="5" t="str">
        <f>IFERROR(__xludf.DUMMYFUNCTION("IF(R289&lt;&gt;"""", GOOGLETRANSLATE(R289, ""RO"", ""EN""), """")"),"")</f>
        <v/>
      </c>
      <c r="H289" s="5" t="str">
        <f>IFERROR(__xludf.DUMMYFUNCTION("IF(U289&lt;&gt;"""", GOOGLETRANSLATE(U289, ""RO"", ""EN""), """")"),"")</f>
        <v/>
      </c>
      <c r="I289" s="5" t="str">
        <f>IFERROR(__xludf.DUMMYFUNCTION("IF(V289&lt;&gt;"""", GOOGLETRANSLATE(V289, ""RO"", ""EN""), """")"),"")</f>
        <v/>
      </c>
      <c r="J289" s="5" t="str">
        <f>IFERROR(__xludf.DUMMYFUNCTION("IF(W289&lt;&gt;"""", GOOGLETRANSLATE(W289, ""RO"", ""EN""), """")"),"")</f>
        <v/>
      </c>
      <c r="K289" s="5" t="str">
        <f>IFERROR(__xludf.DUMMYFUNCTION("IF(X289&lt;&gt;"""", GOOGLETRANSLATE(X289, ""RO"", ""EN""), """")"),"")</f>
        <v/>
      </c>
      <c r="L289" s="5" t="str">
        <f>IFERROR(__xludf.DUMMYFUNCTION("IF(S289&lt;&gt;"""", GOOGLETRANSLATE(S289, ""RO"", ""EN""), """")"),"")</f>
        <v/>
      </c>
      <c r="M289" s="5" t="str">
        <f>IFERROR(__xludf.DUMMYFUNCTION("IF(T289&lt;&gt;"""", GOOGLETRANSLATE(T289, ""RO"", ""EN""), """")"),"No.")</f>
        <v>No.</v>
      </c>
      <c r="N289" s="5" t="str">
        <f>IFERROR(__xludf.DUMMYFUNCTION("IF(Y289&lt;&gt;"""", GOOGLETRANSLATE(Y289, ""RO"", ""EN""), """")"),"")</f>
        <v/>
      </c>
      <c r="P289" s="4" t="s">
        <v>639</v>
      </c>
      <c r="Q289" s="4" t="s">
        <v>640</v>
      </c>
      <c r="T289" s="4" t="s">
        <v>104</v>
      </c>
    </row>
    <row r="290" ht="15.75" customHeight="1">
      <c r="A290" s="4" t="s">
        <v>892</v>
      </c>
      <c r="B290" s="4" t="s">
        <v>893</v>
      </c>
      <c r="C290" s="4" t="str">
        <f>IFERROR(__xludf.DUMMYFUNCTION("GOOGLETRANSLATE(B290, ""RO"", ""EN"")"),"computer")</f>
        <v>computer</v>
      </c>
      <c r="D290" s="5" t="str">
        <f>IFERROR(__xludf.DUMMYFUNCTION("IF(O290&lt;&gt;"""", GOOGLETRANSLATE(O290, ""RO"", ""EN""), """")"),"")</f>
        <v/>
      </c>
      <c r="E290" s="6" t="str">
        <f>IFERROR(__xludf.DUMMYFUNCTION("IF(P290&lt;&gt;"""", GOOGLETRANSLATE(P290, ""RO"", ""EN""), """")"),"Yes")</f>
        <v>Yes</v>
      </c>
      <c r="F290" s="5" t="str">
        <f>IFERROR(__xludf.DUMMYFUNCTION("IF(Q290&lt;&gt;"""", GOOGLETRANSLATE(Q290, ""RO"", ""EN""), """")"),"Not")</f>
        <v>Not</v>
      </c>
      <c r="G290" s="5" t="str">
        <f>IFERROR(__xludf.DUMMYFUNCTION("IF(R290&lt;&gt;"""", GOOGLETRANSLATE(R290, ""RO"", ""EN""), """")"),"")</f>
        <v/>
      </c>
      <c r="H290" s="5" t="str">
        <f>IFERROR(__xludf.DUMMYFUNCTION("IF(U290&lt;&gt;"""", GOOGLETRANSLATE(U290, ""RO"", ""EN""), """")"),"")</f>
        <v/>
      </c>
      <c r="I290" s="5" t="str">
        <f>IFERROR(__xludf.DUMMYFUNCTION("IF(V290&lt;&gt;"""", GOOGLETRANSLATE(V290, ""RO"", ""EN""), """")"),"")</f>
        <v/>
      </c>
      <c r="J290" s="5" t="str">
        <f>IFERROR(__xludf.DUMMYFUNCTION("IF(W290&lt;&gt;"""", GOOGLETRANSLATE(W290, ""RO"", ""EN""), """")"),"")</f>
        <v/>
      </c>
      <c r="K290" s="5" t="str">
        <f>IFERROR(__xludf.DUMMYFUNCTION("IF(X290&lt;&gt;"""", GOOGLETRANSLATE(X290, ""RO"", ""EN""), """")"),"")</f>
        <v/>
      </c>
      <c r="L290" s="5" t="str">
        <f>IFERROR(__xludf.DUMMYFUNCTION("IF(S290&lt;&gt;"""", GOOGLETRANSLATE(S290, ""RO"", ""EN""), """")"),"")</f>
        <v/>
      </c>
      <c r="M290" s="5" t="str">
        <f>IFERROR(__xludf.DUMMYFUNCTION("IF(T290&lt;&gt;"""", GOOGLETRANSLATE(T290, ""RO"", ""EN""), """")"),"No.")</f>
        <v>No.</v>
      </c>
      <c r="N290" s="5" t="str">
        <f>IFERROR(__xludf.DUMMYFUNCTION("IF(Y290&lt;&gt;"""", GOOGLETRANSLATE(Y290, ""RO"", ""EN""), """")"),"")</f>
        <v/>
      </c>
      <c r="P290" s="4" t="s">
        <v>639</v>
      </c>
      <c r="Q290" s="4" t="s">
        <v>640</v>
      </c>
      <c r="T290" s="4" t="s">
        <v>104</v>
      </c>
    </row>
    <row r="291" ht="15.75" customHeight="1">
      <c r="A291" s="4" t="s">
        <v>894</v>
      </c>
      <c r="B291" s="4" t="s">
        <v>895</v>
      </c>
      <c r="C291" s="4" t="str">
        <f>IFERROR(__xludf.DUMMYFUNCTION("GOOGLETRANSLATE(B291, ""RO"", ""EN"")"),"Internet access")</f>
        <v>Internet access</v>
      </c>
      <c r="D291" s="5" t="str">
        <f>IFERROR(__xludf.DUMMYFUNCTION("IF(O291&lt;&gt;"""", GOOGLETRANSLATE(O291, ""RO"", ""EN""), """")"),"")</f>
        <v/>
      </c>
      <c r="E291" s="6" t="str">
        <f>IFERROR(__xludf.DUMMYFUNCTION("IF(P291&lt;&gt;"""", GOOGLETRANSLATE(P291, ""RO"", ""EN""), """")"),"Yes")</f>
        <v>Yes</v>
      </c>
      <c r="F291" s="5" t="str">
        <f>IFERROR(__xludf.DUMMYFUNCTION("IF(Q291&lt;&gt;"""", GOOGLETRANSLATE(Q291, ""RO"", ""EN""), """")"),"Not")</f>
        <v>Not</v>
      </c>
      <c r="G291" s="5" t="str">
        <f>IFERROR(__xludf.DUMMYFUNCTION("IF(R291&lt;&gt;"""", GOOGLETRANSLATE(R291, ""RO"", ""EN""), """")"),"")</f>
        <v/>
      </c>
      <c r="H291" s="5" t="str">
        <f>IFERROR(__xludf.DUMMYFUNCTION("IF(U291&lt;&gt;"""", GOOGLETRANSLATE(U291, ""RO"", ""EN""), """")"),"")</f>
        <v/>
      </c>
      <c r="I291" s="5" t="str">
        <f>IFERROR(__xludf.DUMMYFUNCTION("IF(V291&lt;&gt;"""", GOOGLETRANSLATE(V291, ""RO"", ""EN""), """")"),"")</f>
        <v/>
      </c>
      <c r="J291" s="5" t="str">
        <f>IFERROR(__xludf.DUMMYFUNCTION("IF(W291&lt;&gt;"""", GOOGLETRANSLATE(W291, ""RO"", ""EN""), """")"),"")</f>
        <v/>
      </c>
      <c r="K291" s="5" t="str">
        <f>IFERROR(__xludf.DUMMYFUNCTION("IF(X291&lt;&gt;"""", GOOGLETRANSLATE(X291, ""RO"", ""EN""), """")"),"")</f>
        <v/>
      </c>
      <c r="L291" s="5" t="str">
        <f>IFERROR(__xludf.DUMMYFUNCTION("IF(S291&lt;&gt;"""", GOOGLETRANSLATE(S291, ""RO"", ""EN""), """")"),"")</f>
        <v/>
      </c>
      <c r="M291" s="5" t="str">
        <f>IFERROR(__xludf.DUMMYFUNCTION("IF(T291&lt;&gt;"""", GOOGLETRANSLATE(T291, ""RO"", ""EN""), """")"),"No.")</f>
        <v>No.</v>
      </c>
      <c r="N291" s="5" t="str">
        <f>IFERROR(__xludf.DUMMYFUNCTION("IF(Y291&lt;&gt;"""", GOOGLETRANSLATE(Y291, ""RO"", ""EN""), """")"),"")</f>
        <v/>
      </c>
      <c r="P291" s="4" t="s">
        <v>639</v>
      </c>
      <c r="Q291" s="4" t="s">
        <v>640</v>
      </c>
      <c r="T291" s="4" t="s">
        <v>104</v>
      </c>
    </row>
    <row r="292" ht="15.75" customHeight="1">
      <c r="A292" s="4" t="s">
        <v>896</v>
      </c>
      <c r="B292" s="4" t="s">
        <v>897</v>
      </c>
      <c r="C292" s="4" t="str">
        <f>IFERROR(__xludf.DUMMYFUNCTION("GOOGLETRANSLATE(B292, ""RO"", ""EN"")"),"air conditioning")</f>
        <v>air conditioning</v>
      </c>
      <c r="D292" s="5" t="str">
        <f>IFERROR(__xludf.DUMMYFUNCTION("IF(O292&lt;&gt;"""", GOOGLETRANSLATE(O292, ""RO"", ""EN""), """")"),"")</f>
        <v/>
      </c>
      <c r="E292" s="6" t="str">
        <f>IFERROR(__xludf.DUMMYFUNCTION("IF(P292&lt;&gt;"""", GOOGLETRANSLATE(P292, ""RO"", ""EN""), """")"),"Yes")</f>
        <v>Yes</v>
      </c>
      <c r="F292" s="5" t="str">
        <f>IFERROR(__xludf.DUMMYFUNCTION("IF(Q292&lt;&gt;"""", GOOGLETRANSLATE(Q292, ""RO"", ""EN""), """")"),"Not")</f>
        <v>Not</v>
      </c>
      <c r="G292" s="5" t="str">
        <f>IFERROR(__xludf.DUMMYFUNCTION("IF(R292&lt;&gt;"""", GOOGLETRANSLATE(R292, ""RO"", ""EN""), """")"),"")</f>
        <v/>
      </c>
      <c r="H292" s="5" t="str">
        <f>IFERROR(__xludf.DUMMYFUNCTION("IF(U292&lt;&gt;"""", GOOGLETRANSLATE(U292, ""RO"", ""EN""), """")"),"")</f>
        <v/>
      </c>
      <c r="I292" s="5" t="str">
        <f>IFERROR(__xludf.DUMMYFUNCTION("IF(V292&lt;&gt;"""", GOOGLETRANSLATE(V292, ""RO"", ""EN""), """")"),"")</f>
        <v/>
      </c>
      <c r="J292" s="5" t="str">
        <f>IFERROR(__xludf.DUMMYFUNCTION("IF(W292&lt;&gt;"""", GOOGLETRANSLATE(W292, ""RO"", ""EN""), """")"),"")</f>
        <v/>
      </c>
      <c r="K292" s="5" t="str">
        <f>IFERROR(__xludf.DUMMYFUNCTION("IF(X292&lt;&gt;"""", GOOGLETRANSLATE(X292, ""RO"", ""EN""), """")"),"")</f>
        <v/>
      </c>
      <c r="L292" s="5" t="str">
        <f>IFERROR(__xludf.DUMMYFUNCTION("IF(S292&lt;&gt;"""", GOOGLETRANSLATE(S292, ""RO"", ""EN""), """")"),"")</f>
        <v/>
      </c>
      <c r="M292" s="5" t="str">
        <f>IFERROR(__xludf.DUMMYFUNCTION("IF(T292&lt;&gt;"""", GOOGLETRANSLATE(T292, ""RO"", ""EN""), """")"),"No.")</f>
        <v>No.</v>
      </c>
      <c r="N292" s="5" t="str">
        <f>IFERROR(__xludf.DUMMYFUNCTION("IF(Y292&lt;&gt;"""", GOOGLETRANSLATE(Y292, ""RO"", ""EN""), """")"),"")</f>
        <v/>
      </c>
      <c r="P292" s="4" t="s">
        <v>639</v>
      </c>
      <c r="Q292" s="4" t="s">
        <v>640</v>
      </c>
      <c r="T292" s="4" t="s">
        <v>104</v>
      </c>
    </row>
    <row r="293" ht="15.75" customHeight="1">
      <c r="A293" s="4" t="s">
        <v>898</v>
      </c>
      <c r="B293" s="4" t="s">
        <v>899</v>
      </c>
      <c r="C293" s="4" t="str">
        <f>IFERROR(__xludf.DUMMYFUNCTION("GOOGLETRANSLATE(B293, ""RO"", ""EN"")"),"Current hot water (tap)")</f>
        <v>Current hot water (tap)</v>
      </c>
      <c r="D293" s="5" t="str">
        <f>IFERROR(__xludf.DUMMYFUNCTION("IF(O293&lt;&gt;"""", GOOGLETRANSLATE(O293, ""RO"", ""EN""), """")"),"")</f>
        <v/>
      </c>
      <c r="E293" s="6" t="str">
        <f>IFERROR(__xludf.DUMMYFUNCTION("IF(P293&lt;&gt;"""", GOOGLETRANSLATE(P293, ""RO"", ""EN""), """")"),"Yes")</f>
        <v>Yes</v>
      </c>
      <c r="F293" s="5" t="str">
        <f>IFERROR(__xludf.DUMMYFUNCTION("IF(Q293&lt;&gt;"""", GOOGLETRANSLATE(Q293, ""RO"", ""EN""), """")"),"Not")</f>
        <v>Not</v>
      </c>
      <c r="G293" s="5" t="str">
        <f>IFERROR(__xludf.DUMMYFUNCTION("IF(R293&lt;&gt;"""", GOOGLETRANSLATE(R293, ""RO"", ""EN""), """")"),"")</f>
        <v/>
      </c>
      <c r="H293" s="5" t="str">
        <f>IFERROR(__xludf.DUMMYFUNCTION("IF(U293&lt;&gt;"""", GOOGLETRANSLATE(U293, ""RO"", ""EN""), """")"),"")</f>
        <v/>
      </c>
      <c r="I293" s="5" t="str">
        <f>IFERROR(__xludf.DUMMYFUNCTION("IF(V293&lt;&gt;"""", GOOGLETRANSLATE(V293, ""RO"", ""EN""), """")"),"")</f>
        <v/>
      </c>
      <c r="J293" s="5" t="str">
        <f>IFERROR(__xludf.DUMMYFUNCTION("IF(W293&lt;&gt;"""", GOOGLETRANSLATE(W293, ""RO"", ""EN""), """")"),"")</f>
        <v/>
      </c>
      <c r="K293" s="5" t="str">
        <f>IFERROR(__xludf.DUMMYFUNCTION("IF(X293&lt;&gt;"""", GOOGLETRANSLATE(X293, ""RO"", ""EN""), """")"),"")</f>
        <v/>
      </c>
      <c r="L293" s="5" t="str">
        <f>IFERROR(__xludf.DUMMYFUNCTION("IF(S293&lt;&gt;"""", GOOGLETRANSLATE(S293, ""RO"", ""EN""), """")"),"")</f>
        <v/>
      </c>
      <c r="M293" s="5" t="str">
        <f>IFERROR(__xludf.DUMMYFUNCTION("IF(T293&lt;&gt;"""", GOOGLETRANSLATE(T293, ""RO"", ""EN""), """")"),"No.")</f>
        <v>No.</v>
      </c>
      <c r="N293" s="5" t="str">
        <f>IFERROR(__xludf.DUMMYFUNCTION("IF(Y293&lt;&gt;"""", GOOGLETRANSLATE(Y293, ""RO"", ""EN""), """")"),"")</f>
        <v/>
      </c>
      <c r="P293" s="4" t="s">
        <v>639</v>
      </c>
      <c r="Q293" s="4" t="s">
        <v>640</v>
      </c>
      <c r="T293" s="4" t="s">
        <v>104</v>
      </c>
    </row>
    <row r="294" ht="15.75" customHeight="1">
      <c r="A294" s="4" t="s">
        <v>900</v>
      </c>
      <c r="B294" s="4" t="s">
        <v>901</v>
      </c>
      <c r="C294" s="4" t="str">
        <f>IFERROR(__xludf.DUMMYFUNCTION("GOOGLETRANSLATE(B294, ""RO"", ""EN"")"),"After 1989, have you or someone else in your household have ever been abroad?")</f>
        <v>After 1989, have you or someone else in your household have ever been abroad?</v>
      </c>
      <c r="D294" s="5" t="str">
        <f>IFERROR(__xludf.DUMMYFUNCTION("IF(O294&lt;&gt;"""", GOOGLETRANSLATE(O294, ""RO"", ""EN""), """")"),"")</f>
        <v/>
      </c>
      <c r="E294" s="6" t="str">
        <f>IFERROR(__xludf.DUMMYFUNCTION("IF(P294&lt;&gt;"""", GOOGLETRANSLATE(P294, ""RO"", ""EN""), """")"),"Not")</f>
        <v>Not</v>
      </c>
      <c r="F294" s="5" t="str">
        <f>IFERROR(__xludf.DUMMYFUNCTION("IF(Q294&lt;&gt;"""", GOOGLETRANSLATE(Q294, ""RO"", ""EN""), """")"),"Yes me")</f>
        <v>Yes me</v>
      </c>
      <c r="G294" s="5" t="str">
        <f>IFERROR(__xludf.DUMMYFUNCTION("IF(R294&lt;&gt;"""", GOOGLETRANSLATE(R294, ""RO"", ""EN""), """")"),"Yes, me and someone else")</f>
        <v>Yes, me and someone else</v>
      </c>
      <c r="H294" s="5" t="str">
        <f>IFERROR(__xludf.DUMMYFUNCTION("IF(U294&lt;&gt;"""", GOOGLETRANSLATE(U294, ""RO"", ""EN""), """")"),"Yes, someone else")</f>
        <v>Yes, someone else</v>
      </c>
      <c r="I294" s="5" t="str">
        <f>IFERROR(__xludf.DUMMYFUNCTION("IF(V294&lt;&gt;"""", GOOGLETRANSLATE(V294, ""RO"", ""EN""), """")"),"")</f>
        <v/>
      </c>
      <c r="J294" s="5" t="str">
        <f>IFERROR(__xludf.DUMMYFUNCTION("IF(W294&lt;&gt;"""", GOOGLETRANSLATE(W294, ""RO"", ""EN""), """")"),"")</f>
        <v/>
      </c>
      <c r="K294" s="5" t="str">
        <f>IFERROR(__xludf.DUMMYFUNCTION("IF(X294&lt;&gt;"""", GOOGLETRANSLATE(X294, ""RO"", ""EN""), """")"),"")</f>
        <v/>
      </c>
      <c r="L294" s="5" t="str">
        <f>IFERROR(__xludf.DUMMYFUNCTION("IF(S294&lt;&gt;"""", GOOGLETRANSLATE(S294, ""RO"", ""EN""), """")"),"")</f>
        <v/>
      </c>
      <c r="M294" s="5" t="str">
        <f>IFERROR(__xludf.DUMMYFUNCTION("IF(T294&lt;&gt;"""", GOOGLETRANSLATE(T294, ""RO"", ""EN""), """")"),"No.")</f>
        <v>No.</v>
      </c>
      <c r="N294" s="5" t="str">
        <f>IFERROR(__xludf.DUMMYFUNCTION("IF(Y294&lt;&gt;"""", GOOGLETRANSLATE(Y294, ""RO"", ""EN""), """")"),"")</f>
        <v/>
      </c>
      <c r="P294" s="4" t="s">
        <v>640</v>
      </c>
      <c r="Q294" s="4" t="s">
        <v>902</v>
      </c>
      <c r="R294" s="4" t="s">
        <v>903</v>
      </c>
      <c r="T294" s="4" t="s">
        <v>104</v>
      </c>
      <c r="U294" s="4" t="s">
        <v>904</v>
      </c>
    </row>
    <row r="295" ht="15.75" customHeight="1">
      <c r="A295" s="4" t="s">
        <v>905</v>
      </c>
      <c r="B295" s="4" t="s">
        <v>906</v>
      </c>
      <c r="C295" s="4" t="str">
        <f>IFERROR(__xludf.DUMMYFUNCTION("GOOGLETRANSLATE(B295, ""RO"", ""EN"")"),"The reason/veil of departure/their were ...? The work")</f>
        <v>The reason/veil of departure/their were ...? The work</v>
      </c>
      <c r="D295" s="5" t="str">
        <f>IFERROR(__xludf.DUMMYFUNCTION("IF(O295&lt;&gt;"""", GOOGLETRANSLATE(O295, ""RO"", ""EN""), """")"),"")</f>
        <v/>
      </c>
      <c r="E295" s="6" t="str">
        <f>IFERROR(__xludf.DUMMYFUNCTION("IF(P295&lt;&gt;"""", GOOGLETRANSLATE(P295, ""RO"", ""EN""), """")"),"Yes")</f>
        <v>Yes</v>
      </c>
      <c r="F295" s="5" t="str">
        <f>IFERROR(__xludf.DUMMYFUNCTION("IF(Q295&lt;&gt;"""", GOOGLETRANSLATE(Q295, ""RO"", ""EN""), """")"),"Not")</f>
        <v>Not</v>
      </c>
      <c r="G295" s="5" t="str">
        <f>IFERROR(__xludf.DUMMYFUNCTION("IF(R295&lt;&gt;"""", GOOGLETRANSLATE(R295, ""RO"", ""EN""), """")"),"")</f>
        <v/>
      </c>
      <c r="H295" s="5" t="str">
        <f>IFERROR(__xludf.DUMMYFUNCTION("IF(U295&lt;&gt;"""", GOOGLETRANSLATE(U295, ""RO"", ""EN""), """")"),"")</f>
        <v/>
      </c>
      <c r="I295" s="5" t="str">
        <f>IFERROR(__xludf.DUMMYFUNCTION("IF(V295&lt;&gt;"""", GOOGLETRANSLATE(V295, ""RO"", ""EN""), """")"),"")</f>
        <v/>
      </c>
      <c r="J295" s="5" t="str">
        <f>IFERROR(__xludf.DUMMYFUNCTION("IF(W295&lt;&gt;"""", GOOGLETRANSLATE(W295, ""RO"", ""EN""), """")"),"")</f>
        <v/>
      </c>
      <c r="K295" s="5" t="str">
        <f>IFERROR(__xludf.DUMMYFUNCTION("IF(X295&lt;&gt;"""", GOOGLETRANSLATE(X295, ""RO"", ""EN""), """")"),"")</f>
        <v/>
      </c>
      <c r="L295" s="5" t="str">
        <f>IFERROR(__xludf.DUMMYFUNCTION("IF(S295&lt;&gt;"""", GOOGLETRANSLATE(S295, ""RO"", ""EN""), """")"),"")</f>
        <v/>
      </c>
      <c r="M295" s="5" t="str">
        <f>IFERROR(__xludf.DUMMYFUNCTION("IF(T295&lt;&gt;"""", GOOGLETRANSLATE(T295, ""RO"", ""EN""), """")"),"No.")</f>
        <v>No.</v>
      </c>
      <c r="N295" s="5" t="str">
        <f>IFERROR(__xludf.DUMMYFUNCTION("IF(Y295&lt;&gt;"""", GOOGLETRANSLATE(Y295, ""RO"", ""EN""), """")"),"")</f>
        <v/>
      </c>
      <c r="P295" s="4" t="s">
        <v>639</v>
      </c>
      <c r="Q295" s="4" t="s">
        <v>640</v>
      </c>
      <c r="T295" s="4" t="s">
        <v>104</v>
      </c>
    </row>
    <row r="296" ht="15.75" customHeight="1">
      <c r="A296" s="4" t="s">
        <v>907</v>
      </c>
      <c r="B296" s="4" t="s">
        <v>908</v>
      </c>
      <c r="C296" s="4" t="str">
        <f>IFERROR(__xludf.DUMMYFUNCTION("GOOGLETRANSLATE(B296, ""RO"", ""EN"")"),"What country most often?")</f>
        <v>What country most often?</v>
      </c>
      <c r="D296" s="5" t="str">
        <f>IFERROR(__xludf.DUMMYFUNCTION("IF(O296&lt;&gt;"""", GOOGLETRANSLATE(O296, ""RO"", ""EN""), """")"),"")</f>
        <v/>
      </c>
      <c r="E296" s="6" t="str">
        <f>IFERROR(__xludf.DUMMYFUNCTION("IF(P296&lt;&gt;"""", GOOGLETRANSLATE(P296, ""RO"", ""EN""), """")"),"")</f>
        <v/>
      </c>
      <c r="F296" s="5" t="str">
        <f>IFERROR(__xludf.DUMMYFUNCTION("IF(Q296&lt;&gt;"""", GOOGLETRANSLATE(Q296, ""RO"", ""EN""), """")"),"")</f>
        <v/>
      </c>
      <c r="G296" s="5" t="str">
        <f>IFERROR(__xludf.DUMMYFUNCTION("IF(R296&lt;&gt;"""", GOOGLETRANSLATE(R296, ""RO"", ""EN""), """")"),"")</f>
        <v/>
      </c>
      <c r="H296" s="5" t="str">
        <f>IFERROR(__xludf.DUMMYFUNCTION("IF(U296&lt;&gt;"""", GOOGLETRANSLATE(U296, ""RO"", ""EN""), """")"),"")</f>
        <v/>
      </c>
      <c r="I296" s="5" t="str">
        <f>IFERROR(__xludf.DUMMYFUNCTION("IF(V296&lt;&gt;"""", GOOGLETRANSLATE(V296, ""RO"", ""EN""), """")"),"")</f>
        <v/>
      </c>
      <c r="J296" s="5" t="str">
        <f>IFERROR(__xludf.DUMMYFUNCTION("IF(W296&lt;&gt;"""", GOOGLETRANSLATE(W296, ""RO"", ""EN""), """")"),"")</f>
        <v/>
      </c>
      <c r="K296" s="5" t="str">
        <f>IFERROR(__xludf.DUMMYFUNCTION("IF(X296&lt;&gt;"""", GOOGLETRANSLATE(X296, ""RO"", ""EN""), """")"),"")</f>
        <v/>
      </c>
      <c r="L296" s="5" t="str">
        <f>IFERROR(__xludf.DUMMYFUNCTION("IF(S296&lt;&gt;"""", GOOGLETRANSLATE(S296, ""RO"", ""EN""), """")"),"")</f>
        <v/>
      </c>
      <c r="M296" s="5" t="str">
        <f>IFERROR(__xludf.DUMMYFUNCTION("IF(T296&lt;&gt;"""", GOOGLETRANSLATE(T296, ""RO"", ""EN""), """")"),"")</f>
        <v/>
      </c>
      <c r="N296" s="5" t="str">
        <f>IFERROR(__xludf.DUMMYFUNCTION("IF(Y296&lt;&gt;"""", GOOGLETRANSLATE(Y296, ""RO"", ""EN""), """")"),"")</f>
        <v/>
      </c>
    </row>
    <row r="297" ht="15.75" customHeight="1">
      <c r="A297" s="4" t="s">
        <v>909</v>
      </c>
      <c r="B297" s="4" t="s">
        <v>910</v>
      </c>
      <c r="C297" s="4" t="str">
        <f>IFERROR(__xludf.DUMMYFUNCTION("GOOGLETRANSLATE(B297, ""RO"", ""EN"")"),"The reason/veil of departure/their were ...? Tourism")</f>
        <v>The reason/veil of departure/their were ...? Tourism</v>
      </c>
      <c r="D297" s="5" t="str">
        <f>IFERROR(__xludf.DUMMYFUNCTION("IF(O297&lt;&gt;"""", GOOGLETRANSLATE(O297, ""RO"", ""EN""), """")"),"")</f>
        <v/>
      </c>
      <c r="E297" s="6" t="str">
        <f>IFERROR(__xludf.DUMMYFUNCTION("IF(P297&lt;&gt;"""", GOOGLETRANSLATE(P297, ""RO"", ""EN""), """")"),"Yes")</f>
        <v>Yes</v>
      </c>
      <c r="F297" s="5" t="str">
        <f>IFERROR(__xludf.DUMMYFUNCTION("IF(Q297&lt;&gt;"""", GOOGLETRANSLATE(Q297, ""RO"", ""EN""), """")"),"Not")</f>
        <v>Not</v>
      </c>
      <c r="G297" s="5" t="str">
        <f>IFERROR(__xludf.DUMMYFUNCTION("IF(R297&lt;&gt;"""", GOOGLETRANSLATE(R297, ""RO"", ""EN""), """")"),"")</f>
        <v/>
      </c>
      <c r="H297" s="5" t="str">
        <f>IFERROR(__xludf.DUMMYFUNCTION("IF(U297&lt;&gt;"""", GOOGLETRANSLATE(U297, ""RO"", ""EN""), """")"),"")</f>
        <v/>
      </c>
      <c r="I297" s="5" t="str">
        <f>IFERROR(__xludf.DUMMYFUNCTION("IF(V297&lt;&gt;"""", GOOGLETRANSLATE(V297, ""RO"", ""EN""), """")"),"")</f>
        <v/>
      </c>
      <c r="J297" s="5" t="str">
        <f>IFERROR(__xludf.DUMMYFUNCTION("IF(W297&lt;&gt;"""", GOOGLETRANSLATE(W297, ""RO"", ""EN""), """")"),"")</f>
        <v/>
      </c>
      <c r="K297" s="5" t="str">
        <f>IFERROR(__xludf.DUMMYFUNCTION("IF(X297&lt;&gt;"""", GOOGLETRANSLATE(X297, ""RO"", ""EN""), """")"),"")</f>
        <v/>
      </c>
      <c r="L297" s="5" t="str">
        <f>IFERROR(__xludf.DUMMYFUNCTION("IF(S297&lt;&gt;"""", GOOGLETRANSLATE(S297, ""RO"", ""EN""), """")"),"")</f>
        <v/>
      </c>
      <c r="M297" s="5" t="str">
        <f>IFERROR(__xludf.DUMMYFUNCTION("IF(T297&lt;&gt;"""", GOOGLETRANSLATE(T297, ""RO"", ""EN""), """")"),"No.")</f>
        <v>No.</v>
      </c>
      <c r="N297" s="5" t="str">
        <f>IFERROR(__xludf.DUMMYFUNCTION("IF(Y297&lt;&gt;"""", GOOGLETRANSLATE(Y297, ""RO"", ""EN""), """")"),"")</f>
        <v/>
      </c>
      <c r="P297" s="4" t="s">
        <v>639</v>
      </c>
      <c r="Q297" s="4" t="s">
        <v>640</v>
      </c>
      <c r="T297" s="4" t="s">
        <v>104</v>
      </c>
    </row>
    <row r="298" ht="15.75" customHeight="1">
      <c r="A298" s="4" t="s">
        <v>911</v>
      </c>
      <c r="B298" s="4" t="s">
        <v>908</v>
      </c>
      <c r="C298" s="4" t="str">
        <f>IFERROR(__xludf.DUMMYFUNCTION("GOOGLETRANSLATE(B298, ""RO"", ""EN"")"),"What country most often?")</f>
        <v>What country most often?</v>
      </c>
      <c r="D298" s="5" t="str">
        <f>IFERROR(__xludf.DUMMYFUNCTION("IF(O298&lt;&gt;"""", GOOGLETRANSLATE(O298, ""RO"", ""EN""), """")"),"")</f>
        <v/>
      </c>
      <c r="E298" s="6" t="str">
        <f>IFERROR(__xludf.DUMMYFUNCTION("IF(P298&lt;&gt;"""", GOOGLETRANSLATE(P298, ""RO"", ""EN""), """")"),"")</f>
        <v/>
      </c>
      <c r="F298" s="5" t="str">
        <f>IFERROR(__xludf.DUMMYFUNCTION("IF(Q298&lt;&gt;"""", GOOGLETRANSLATE(Q298, ""RO"", ""EN""), """")"),"")</f>
        <v/>
      </c>
      <c r="G298" s="5" t="str">
        <f>IFERROR(__xludf.DUMMYFUNCTION("IF(R298&lt;&gt;"""", GOOGLETRANSLATE(R298, ""RO"", ""EN""), """")"),"")</f>
        <v/>
      </c>
      <c r="H298" s="5" t="str">
        <f>IFERROR(__xludf.DUMMYFUNCTION("IF(U298&lt;&gt;"""", GOOGLETRANSLATE(U298, ""RO"", ""EN""), """")"),"")</f>
        <v/>
      </c>
      <c r="I298" s="5" t="str">
        <f>IFERROR(__xludf.DUMMYFUNCTION("IF(V298&lt;&gt;"""", GOOGLETRANSLATE(V298, ""RO"", ""EN""), """")"),"")</f>
        <v/>
      </c>
      <c r="J298" s="5" t="str">
        <f>IFERROR(__xludf.DUMMYFUNCTION("IF(W298&lt;&gt;"""", GOOGLETRANSLATE(W298, ""RO"", ""EN""), """")"),"")</f>
        <v/>
      </c>
      <c r="K298" s="5" t="str">
        <f>IFERROR(__xludf.DUMMYFUNCTION("IF(X298&lt;&gt;"""", GOOGLETRANSLATE(X298, ""RO"", ""EN""), """")"),"")</f>
        <v/>
      </c>
      <c r="L298" s="5" t="str">
        <f>IFERROR(__xludf.DUMMYFUNCTION("IF(S298&lt;&gt;"""", GOOGLETRANSLATE(S298, ""RO"", ""EN""), """")"),"")</f>
        <v/>
      </c>
      <c r="M298" s="5" t="str">
        <f>IFERROR(__xludf.DUMMYFUNCTION("IF(T298&lt;&gt;"""", GOOGLETRANSLATE(T298, ""RO"", ""EN""), """")"),"")</f>
        <v/>
      </c>
      <c r="N298" s="5" t="str">
        <f>IFERROR(__xludf.DUMMYFUNCTION("IF(Y298&lt;&gt;"""", GOOGLETRANSLATE(Y298, ""RO"", ""EN""), """")"),"")</f>
        <v/>
      </c>
    </row>
    <row r="299" ht="15.75" customHeight="1">
      <c r="A299" s="4" t="s">
        <v>912</v>
      </c>
      <c r="B299" s="4" t="s">
        <v>913</v>
      </c>
      <c r="C299" s="4" t="str">
        <f>IFERROR(__xludf.DUMMYFUNCTION("GOOGLETRANSLATE(B299, ""RO"", ""EN"")"),"The reason/veil of departure/their were ...? Education")</f>
        <v>The reason/veil of departure/their were ...? Education</v>
      </c>
      <c r="D299" s="5" t="str">
        <f>IFERROR(__xludf.DUMMYFUNCTION("IF(O299&lt;&gt;"""", GOOGLETRANSLATE(O299, ""RO"", ""EN""), """")"),"")</f>
        <v/>
      </c>
      <c r="E299" s="6" t="str">
        <f>IFERROR(__xludf.DUMMYFUNCTION("IF(P299&lt;&gt;"""", GOOGLETRANSLATE(P299, ""RO"", ""EN""), """")"),"Yes")</f>
        <v>Yes</v>
      </c>
      <c r="F299" s="5" t="str">
        <f>IFERROR(__xludf.DUMMYFUNCTION("IF(Q299&lt;&gt;"""", GOOGLETRANSLATE(Q299, ""RO"", ""EN""), """")"),"Not")</f>
        <v>Not</v>
      </c>
      <c r="G299" s="5" t="str">
        <f>IFERROR(__xludf.DUMMYFUNCTION("IF(R299&lt;&gt;"""", GOOGLETRANSLATE(R299, ""RO"", ""EN""), """")"),"")</f>
        <v/>
      </c>
      <c r="H299" s="5" t="str">
        <f>IFERROR(__xludf.DUMMYFUNCTION("IF(U299&lt;&gt;"""", GOOGLETRANSLATE(U299, ""RO"", ""EN""), """")"),"")</f>
        <v/>
      </c>
      <c r="I299" s="5" t="str">
        <f>IFERROR(__xludf.DUMMYFUNCTION("IF(V299&lt;&gt;"""", GOOGLETRANSLATE(V299, ""RO"", ""EN""), """")"),"")</f>
        <v/>
      </c>
      <c r="J299" s="5" t="str">
        <f>IFERROR(__xludf.DUMMYFUNCTION("IF(W299&lt;&gt;"""", GOOGLETRANSLATE(W299, ""RO"", ""EN""), """")"),"")</f>
        <v/>
      </c>
      <c r="K299" s="5" t="str">
        <f>IFERROR(__xludf.DUMMYFUNCTION("IF(X299&lt;&gt;"""", GOOGLETRANSLATE(X299, ""RO"", ""EN""), """")"),"")</f>
        <v/>
      </c>
      <c r="L299" s="5" t="str">
        <f>IFERROR(__xludf.DUMMYFUNCTION("IF(S299&lt;&gt;"""", GOOGLETRANSLATE(S299, ""RO"", ""EN""), """")"),"")</f>
        <v/>
      </c>
      <c r="M299" s="5" t="str">
        <f>IFERROR(__xludf.DUMMYFUNCTION("IF(T299&lt;&gt;"""", GOOGLETRANSLATE(T299, ""RO"", ""EN""), """")"),"No.")</f>
        <v>No.</v>
      </c>
      <c r="N299" s="5" t="str">
        <f>IFERROR(__xludf.DUMMYFUNCTION("IF(Y299&lt;&gt;"""", GOOGLETRANSLATE(Y299, ""RO"", ""EN""), """")"),"")</f>
        <v/>
      </c>
      <c r="P299" s="4" t="s">
        <v>639</v>
      </c>
      <c r="Q299" s="4" t="s">
        <v>640</v>
      </c>
      <c r="T299" s="4" t="s">
        <v>104</v>
      </c>
    </row>
    <row r="300" ht="15.75" customHeight="1">
      <c r="A300" s="4" t="s">
        <v>914</v>
      </c>
      <c r="B300" s="4" t="s">
        <v>908</v>
      </c>
      <c r="C300" s="4" t="str">
        <f>IFERROR(__xludf.DUMMYFUNCTION("GOOGLETRANSLATE(B300, ""RO"", ""EN"")"),"What country most often?")</f>
        <v>What country most often?</v>
      </c>
      <c r="D300" s="5" t="str">
        <f>IFERROR(__xludf.DUMMYFUNCTION("IF(O300&lt;&gt;"""", GOOGLETRANSLATE(O300, ""RO"", ""EN""), """")"),"")</f>
        <v/>
      </c>
      <c r="E300" s="6" t="str">
        <f>IFERROR(__xludf.DUMMYFUNCTION("IF(P300&lt;&gt;"""", GOOGLETRANSLATE(P300, ""RO"", ""EN""), """")"),"")</f>
        <v/>
      </c>
      <c r="F300" s="5" t="str">
        <f>IFERROR(__xludf.DUMMYFUNCTION("IF(Q300&lt;&gt;"""", GOOGLETRANSLATE(Q300, ""RO"", ""EN""), """")"),"")</f>
        <v/>
      </c>
      <c r="G300" s="5" t="str">
        <f>IFERROR(__xludf.DUMMYFUNCTION("IF(R300&lt;&gt;"""", GOOGLETRANSLATE(R300, ""RO"", ""EN""), """")"),"")</f>
        <v/>
      </c>
      <c r="H300" s="5" t="str">
        <f>IFERROR(__xludf.DUMMYFUNCTION("IF(U300&lt;&gt;"""", GOOGLETRANSLATE(U300, ""RO"", ""EN""), """")"),"")</f>
        <v/>
      </c>
      <c r="I300" s="5" t="str">
        <f>IFERROR(__xludf.DUMMYFUNCTION("IF(V300&lt;&gt;"""", GOOGLETRANSLATE(V300, ""RO"", ""EN""), """")"),"")</f>
        <v/>
      </c>
      <c r="J300" s="5" t="str">
        <f>IFERROR(__xludf.DUMMYFUNCTION("IF(W300&lt;&gt;"""", GOOGLETRANSLATE(W300, ""RO"", ""EN""), """")"),"")</f>
        <v/>
      </c>
      <c r="K300" s="5" t="str">
        <f>IFERROR(__xludf.DUMMYFUNCTION("IF(X300&lt;&gt;"""", GOOGLETRANSLATE(X300, ""RO"", ""EN""), """")"),"")</f>
        <v/>
      </c>
      <c r="L300" s="5" t="str">
        <f>IFERROR(__xludf.DUMMYFUNCTION("IF(S300&lt;&gt;"""", GOOGLETRANSLATE(S300, ""RO"", ""EN""), """")"),"")</f>
        <v/>
      </c>
      <c r="M300" s="5" t="str">
        <f>IFERROR(__xludf.DUMMYFUNCTION("IF(T300&lt;&gt;"""", GOOGLETRANSLATE(T300, ""RO"", ""EN""), """")"),"")</f>
        <v/>
      </c>
      <c r="N300" s="5" t="str">
        <f>IFERROR(__xludf.DUMMYFUNCTION("IF(Y300&lt;&gt;"""", GOOGLETRANSLATE(Y300, ""RO"", ""EN""), """")"),"")</f>
        <v/>
      </c>
    </row>
    <row r="301" ht="15.75" customHeight="1">
      <c r="A301" s="4" t="s">
        <v>915</v>
      </c>
      <c r="B301" s="4" t="s">
        <v>916</v>
      </c>
      <c r="C301" s="4" t="str">
        <f>IFERROR(__xludf.DUMMYFUNCTION("GOOGLETRANSLATE(B301, ""RO"", ""EN"")"),"The reason/veil of departure/their were ...? Another reason")</f>
        <v>The reason/veil of departure/their were ...? Another reason</v>
      </c>
      <c r="D301" s="5" t="str">
        <f>IFERROR(__xludf.DUMMYFUNCTION("IF(O301&lt;&gt;"""", GOOGLETRANSLATE(O301, ""RO"", ""EN""), """")"),"")</f>
        <v/>
      </c>
      <c r="E301" s="6" t="str">
        <f>IFERROR(__xludf.DUMMYFUNCTION("IF(P301&lt;&gt;"""", GOOGLETRANSLATE(P301, ""RO"", ""EN""), """")"),"Yes")</f>
        <v>Yes</v>
      </c>
      <c r="F301" s="5" t="str">
        <f>IFERROR(__xludf.DUMMYFUNCTION("IF(Q301&lt;&gt;"""", GOOGLETRANSLATE(Q301, ""RO"", ""EN""), """")"),"Not")</f>
        <v>Not</v>
      </c>
      <c r="G301" s="5" t="str">
        <f>IFERROR(__xludf.DUMMYFUNCTION("IF(R301&lt;&gt;"""", GOOGLETRANSLATE(R301, ""RO"", ""EN""), """")"),"")</f>
        <v/>
      </c>
      <c r="H301" s="5" t="str">
        <f>IFERROR(__xludf.DUMMYFUNCTION("IF(U301&lt;&gt;"""", GOOGLETRANSLATE(U301, ""RO"", ""EN""), """")"),"")</f>
        <v/>
      </c>
      <c r="I301" s="5" t="str">
        <f>IFERROR(__xludf.DUMMYFUNCTION("IF(V301&lt;&gt;"""", GOOGLETRANSLATE(V301, ""RO"", ""EN""), """")"),"")</f>
        <v/>
      </c>
      <c r="J301" s="5" t="str">
        <f>IFERROR(__xludf.DUMMYFUNCTION("IF(W301&lt;&gt;"""", GOOGLETRANSLATE(W301, ""RO"", ""EN""), """")"),"")</f>
        <v/>
      </c>
      <c r="K301" s="5" t="str">
        <f>IFERROR(__xludf.DUMMYFUNCTION("IF(X301&lt;&gt;"""", GOOGLETRANSLATE(X301, ""RO"", ""EN""), """")"),"")</f>
        <v/>
      </c>
      <c r="L301" s="5" t="str">
        <f>IFERROR(__xludf.DUMMYFUNCTION("IF(S301&lt;&gt;"""", GOOGLETRANSLATE(S301, ""RO"", ""EN""), """")"),"")</f>
        <v/>
      </c>
      <c r="M301" s="5" t="str">
        <f>IFERROR(__xludf.DUMMYFUNCTION("IF(T301&lt;&gt;"""", GOOGLETRANSLATE(T301, ""RO"", ""EN""), """")"),"No.")</f>
        <v>No.</v>
      </c>
      <c r="N301" s="5" t="str">
        <f>IFERROR(__xludf.DUMMYFUNCTION("IF(Y301&lt;&gt;"""", GOOGLETRANSLATE(Y301, ""RO"", ""EN""), """")"),"")</f>
        <v/>
      </c>
      <c r="P301" s="4" t="s">
        <v>639</v>
      </c>
      <c r="Q301" s="4" t="s">
        <v>640</v>
      </c>
      <c r="T301" s="4" t="s">
        <v>104</v>
      </c>
    </row>
    <row r="302" ht="15.75" customHeight="1">
      <c r="A302" s="4" t="s">
        <v>917</v>
      </c>
      <c r="B302" s="4" t="s">
        <v>908</v>
      </c>
      <c r="C302" s="4" t="str">
        <f>IFERROR(__xludf.DUMMYFUNCTION("GOOGLETRANSLATE(B302, ""RO"", ""EN"")"),"What country most often?")</f>
        <v>What country most often?</v>
      </c>
      <c r="D302" s="5" t="str">
        <f>IFERROR(__xludf.DUMMYFUNCTION("IF(O302&lt;&gt;"""", GOOGLETRANSLATE(O302, ""RO"", ""EN""), """")"),"")</f>
        <v/>
      </c>
      <c r="E302" s="6" t="str">
        <f>IFERROR(__xludf.DUMMYFUNCTION("IF(P302&lt;&gt;"""", GOOGLETRANSLATE(P302, ""RO"", ""EN""), """")"),"")</f>
        <v/>
      </c>
      <c r="F302" s="5" t="str">
        <f>IFERROR(__xludf.DUMMYFUNCTION("IF(Q302&lt;&gt;"""", GOOGLETRANSLATE(Q302, ""RO"", ""EN""), """")"),"")</f>
        <v/>
      </c>
      <c r="G302" s="5" t="str">
        <f>IFERROR(__xludf.DUMMYFUNCTION("IF(R302&lt;&gt;"""", GOOGLETRANSLATE(R302, ""RO"", ""EN""), """")"),"")</f>
        <v/>
      </c>
      <c r="H302" s="5" t="str">
        <f>IFERROR(__xludf.DUMMYFUNCTION("IF(U302&lt;&gt;"""", GOOGLETRANSLATE(U302, ""RO"", ""EN""), """")"),"")</f>
        <v/>
      </c>
      <c r="I302" s="5" t="str">
        <f>IFERROR(__xludf.DUMMYFUNCTION("IF(V302&lt;&gt;"""", GOOGLETRANSLATE(V302, ""RO"", ""EN""), """")"),"")</f>
        <v/>
      </c>
      <c r="J302" s="5" t="str">
        <f>IFERROR(__xludf.DUMMYFUNCTION("IF(W302&lt;&gt;"""", GOOGLETRANSLATE(W302, ""RO"", ""EN""), """")"),"")</f>
        <v/>
      </c>
      <c r="K302" s="5" t="str">
        <f>IFERROR(__xludf.DUMMYFUNCTION("IF(X302&lt;&gt;"""", GOOGLETRANSLATE(X302, ""RO"", ""EN""), """")"),"")</f>
        <v/>
      </c>
      <c r="L302" s="5" t="str">
        <f>IFERROR(__xludf.DUMMYFUNCTION("IF(S302&lt;&gt;"""", GOOGLETRANSLATE(S302, ""RO"", ""EN""), """")"),"")</f>
        <v/>
      </c>
      <c r="M302" s="5" t="str">
        <f>IFERROR(__xludf.DUMMYFUNCTION("IF(T302&lt;&gt;"""", GOOGLETRANSLATE(T302, ""RO"", ""EN""), """")"),"")</f>
        <v/>
      </c>
      <c r="N302" s="5" t="str">
        <f>IFERROR(__xludf.DUMMYFUNCTION("IF(Y302&lt;&gt;"""", GOOGLETRANSLATE(Y302, ""RO"", ""EN""), """")"),"")</f>
        <v/>
      </c>
    </row>
    <row r="303" ht="15.75" customHeight="1">
      <c r="A303" s="4" t="s">
        <v>918</v>
      </c>
      <c r="B303" s="4" t="s">
        <v>919</v>
      </c>
      <c r="C303" s="4" t="str">
        <f>IFERROR(__xludf.DUMMYFUNCTION("GOOGLETRANSLATE(B303, ""RO"", ""EN"")"),"At this moment, any of your household members are gone abroad?")</f>
        <v>At this moment, any of your household members are gone abroad?</v>
      </c>
      <c r="D303" s="5" t="str">
        <f>IFERROR(__xludf.DUMMYFUNCTION("IF(O303&lt;&gt;"""", GOOGLETRANSLATE(O303, ""RO"", ""EN""), """")"),"")</f>
        <v/>
      </c>
      <c r="E303" s="6" t="str">
        <f>IFERROR(__xludf.DUMMYFUNCTION("IF(P303&lt;&gt;"""", GOOGLETRANSLATE(P303, ""RO"", ""EN""), """")"),"Yes")</f>
        <v>Yes</v>
      </c>
      <c r="F303" s="5" t="str">
        <f>IFERROR(__xludf.DUMMYFUNCTION("IF(Q303&lt;&gt;"""", GOOGLETRANSLATE(Q303, ""RO"", ""EN""), """")"),"Not")</f>
        <v>Not</v>
      </c>
      <c r="G303" s="5" t="str">
        <f>IFERROR(__xludf.DUMMYFUNCTION("IF(R303&lt;&gt;"""", GOOGLETRANSLATE(R303, ""RO"", ""EN""), """")"),"")</f>
        <v/>
      </c>
      <c r="H303" s="5" t="str">
        <f>IFERROR(__xludf.DUMMYFUNCTION("IF(U303&lt;&gt;"""", GOOGLETRANSLATE(U303, ""RO"", ""EN""), """")"),"")</f>
        <v/>
      </c>
      <c r="I303" s="5" t="str">
        <f>IFERROR(__xludf.DUMMYFUNCTION("IF(V303&lt;&gt;"""", GOOGLETRANSLATE(V303, ""RO"", ""EN""), """")"),"")</f>
        <v/>
      </c>
      <c r="J303" s="5" t="str">
        <f>IFERROR(__xludf.DUMMYFUNCTION("IF(W303&lt;&gt;"""", GOOGLETRANSLATE(W303, ""RO"", ""EN""), """")"),"")</f>
        <v/>
      </c>
      <c r="K303" s="5" t="str">
        <f>IFERROR(__xludf.DUMMYFUNCTION("IF(X303&lt;&gt;"""", GOOGLETRANSLATE(X303, ""RO"", ""EN""), """")"),"")</f>
        <v/>
      </c>
      <c r="L303" s="5" t="str">
        <f>IFERROR(__xludf.DUMMYFUNCTION("IF(S303&lt;&gt;"""", GOOGLETRANSLATE(S303, ""RO"", ""EN""), """")"),"")</f>
        <v/>
      </c>
      <c r="M303" s="5" t="str">
        <f>IFERROR(__xludf.DUMMYFUNCTION("IF(T303&lt;&gt;"""", GOOGLETRANSLATE(T303, ""RO"", ""EN""), """")"),"No.")</f>
        <v>No.</v>
      </c>
      <c r="N303" s="5" t="str">
        <f>IFERROR(__xludf.DUMMYFUNCTION("IF(Y303&lt;&gt;"""", GOOGLETRANSLATE(Y303, ""RO"", ""EN""), """")"),"")</f>
        <v/>
      </c>
      <c r="P303" s="4" t="s">
        <v>639</v>
      </c>
      <c r="Q303" s="4" t="s">
        <v>640</v>
      </c>
      <c r="T303" s="4" t="s">
        <v>104</v>
      </c>
    </row>
    <row r="304" ht="15.75" customHeight="1">
      <c r="A304" s="4" t="s">
        <v>920</v>
      </c>
      <c r="B304" s="4" t="s">
        <v>921</v>
      </c>
      <c r="C304" s="4" t="str">
        <f>IFERROR(__xludf.DUMMYFUNCTION("GOOGLETRANSLATE(B304, ""RO"", ""EN"")"),"Which country?")</f>
        <v>Which country?</v>
      </c>
      <c r="D304" s="5" t="str">
        <f>IFERROR(__xludf.DUMMYFUNCTION("IF(O304&lt;&gt;"""", GOOGLETRANSLATE(O304, ""RO"", ""EN""), """")"),"")</f>
        <v/>
      </c>
      <c r="E304" s="6" t="str">
        <f>IFERROR(__xludf.DUMMYFUNCTION("IF(P304&lt;&gt;"""", GOOGLETRANSLATE(P304, ""RO"", ""EN""), """")"),"")</f>
        <v/>
      </c>
      <c r="F304" s="5" t="str">
        <f>IFERROR(__xludf.DUMMYFUNCTION("IF(Q304&lt;&gt;"""", GOOGLETRANSLATE(Q304, ""RO"", ""EN""), """")"),"")</f>
        <v/>
      </c>
      <c r="G304" s="5" t="str">
        <f>IFERROR(__xludf.DUMMYFUNCTION("IF(R304&lt;&gt;"""", GOOGLETRANSLATE(R304, ""RO"", ""EN""), """")"),"")</f>
        <v/>
      </c>
      <c r="H304" s="5" t="str">
        <f>IFERROR(__xludf.DUMMYFUNCTION("IF(U304&lt;&gt;"""", GOOGLETRANSLATE(U304, ""RO"", ""EN""), """")"),"")</f>
        <v/>
      </c>
      <c r="I304" s="5" t="str">
        <f>IFERROR(__xludf.DUMMYFUNCTION("IF(V304&lt;&gt;"""", GOOGLETRANSLATE(V304, ""RO"", ""EN""), """")"),"")</f>
        <v/>
      </c>
      <c r="J304" s="5" t="str">
        <f>IFERROR(__xludf.DUMMYFUNCTION("IF(W304&lt;&gt;"""", GOOGLETRANSLATE(W304, ""RO"", ""EN""), """")"),"")</f>
        <v/>
      </c>
      <c r="K304" s="5" t="str">
        <f>IFERROR(__xludf.DUMMYFUNCTION("IF(X304&lt;&gt;"""", GOOGLETRANSLATE(X304, ""RO"", ""EN""), """")"),"")</f>
        <v/>
      </c>
      <c r="L304" s="5" t="str">
        <f>IFERROR(__xludf.DUMMYFUNCTION("IF(S304&lt;&gt;"""", GOOGLETRANSLATE(S304, ""RO"", ""EN""), """")"),"")</f>
        <v/>
      </c>
      <c r="M304" s="5" t="str">
        <f>IFERROR(__xludf.DUMMYFUNCTION("IF(T304&lt;&gt;"""", GOOGLETRANSLATE(T304, ""RO"", ""EN""), """")"),"")</f>
        <v/>
      </c>
      <c r="N304" s="5" t="str">
        <f>IFERROR(__xludf.DUMMYFUNCTION("IF(Y304&lt;&gt;"""", GOOGLETRANSLATE(Y304, ""RO"", ""EN""), """")"),"")</f>
        <v/>
      </c>
    </row>
    <row r="305" ht="15.75" customHeight="1">
      <c r="A305" s="4" t="s">
        <v>922</v>
      </c>
      <c r="B305" s="4" t="s">
        <v>923</v>
      </c>
      <c r="C305" s="4" t="str">
        <f>IFERROR(__xludf.DUMMYFUNCTION("GOOGLETRANSLATE(B305, ""RO"", ""EN"")"),"Do you or someone in your family are a union member?")</f>
        <v>Do you or someone in your family are a union member?</v>
      </c>
      <c r="D305" s="5" t="str">
        <f>IFERROR(__xludf.DUMMYFUNCTION("IF(O305&lt;&gt;"""", GOOGLETRANSLATE(O305, ""RO"", ""EN""), """")"),"")</f>
        <v/>
      </c>
      <c r="E305" s="6" t="str">
        <f>IFERROR(__xludf.DUMMYFUNCTION("IF(P305&lt;&gt;"""", GOOGLETRANSLATE(P305, ""RO"", ""EN""), """")"),"Not")</f>
        <v>Not</v>
      </c>
      <c r="F305" s="5" t="str">
        <f>IFERROR(__xludf.DUMMYFUNCTION("IF(Q305&lt;&gt;"""", GOOGLETRANSLATE(Q305, ""RO"", ""EN""), """")"),"Yes I am")</f>
        <v>Yes I am</v>
      </c>
      <c r="G305" s="5" t="str">
        <f>IFERROR(__xludf.DUMMYFUNCTION("IF(R305&lt;&gt;"""", GOOGLETRANSLATE(R305, ""RO"", ""EN""), """")"),"Yes, me and someone else")</f>
        <v>Yes, me and someone else</v>
      </c>
      <c r="H305" s="5" t="str">
        <f>IFERROR(__xludf.DUMMYFUNCTION("IF(U305&lt;&gt;"""", GOOGLETRANSLATE(U305, ""RO"", ""EN""), """")"),"Yes, someone else is")</f>
        <v>Yes, someone else is</v>
      </c>
      <c r="I305" s="5" t="str">
        <f>IFERROR(__xludf.DUMMYFUNCTION("IF(V305&lt;&gt;"""", GOOGLETRANSLATE(V305, ""RO"", ""EN""), """")"),"")</f>
        <v/>
      </c>
      <c r="J305" s="5" t="str">
        <f>IFERROR(__xludf.DUMMYFUNCTION("IF(W305&lt;&gt;"""", GOOGLETRANSLATE(W305, ""RO"", ""EN""), """")"),"")</f>
        <v/>
      </c>
      <c r="K305" s="5" t="str">
        <f>IFERROR(__xludf.DUMMYFUNCTION("IF(X305&lt;&gt;"""", GOOGLETRANSLATE(X305, ""RO"", ""EN""), """")"),"")</f>
        <v/>
      </c>
      <c r="L305" s="5" t="str">
        <f>IFERROR(__xludf.DUMMYFUNCTION("IF(S305&lt;&gt;"""", GOOGLETRANSLATE(S305, ""RO"", ""EN""), """")"),"Ns")</f>
        <v>Ns</v>
      </c>
      <c r="M305" s="5" t="str">
        <f>IFERROR(__xludf.DUMMYFUNCTION("IF(T305&lt;&gt;"""", GOOGLETRANSLATE(T305, ""RO"", ""EN""), """")"),"No.")</f>
        <v>No.</v>
      </c>
      <c r="N305" s="5" t="str">
        <f>IFERROR(__xludf.DUMMYFUNCTION("IF(Y305&lt;&gt;"""", GOOGLETRANSLATE(Y305, ""RO"", ""EN""), """")"),"")</f>
        <v/>
      </c>
      <c r="P305" s="4" t="s">
        <v>640</v>
      </c>
      <c r="Q305" s="4" t="s">
        <v>924</v>
      </c>
      <c r="R305" s="4" t="s">
        <v>903</v>
      </c>
      <c r="S305" s="4" t="s">
        <v>103</v>
      </c>
      <c r="T305" s="4" t="s">
        <v>104</v>
      </c>
      <c r="U305" s="4" t="s">
        <v>925</v>
      </c>
    </row>
    <row r="306" ht="15.75" customHeight="1">
      <c r="A306" s="4" t="s">
        <v>926</v>
      </c>
      <c r="B306" s="4" t="s">
        <v>927</v>
      </c>
      <c r="C306" s="4" t="str">
        <f>IFERROR(__xludf.DUMMYFUNCTION("GOOGLETRANSLATE(B306, ""RO"", ""EN"")"),"Last month (October), the total amount of money obtained by all your household members including wages, dividends, rents, sales, etc., was about…")</f>
        <v>Last month (October), the total amount of money obtained by all your household members including wages, dividends, rents, sales, etc., was about…</v>
      </c>
      <c r="D306" s="5" t="str">
        <f>IFERROR(__xludf.DUMMYFUNCTION("IF(O306&lt;&gt;"""", GOOGLETRANSLATE(O306, ""RO"", ""EN""), """")"),"No income")</f>
        <v>No income</v>
      </c>
      <c r="E306" s="6" t="str">
        <f>IFERROR(__xludf.DUMMYFUNCTION("IF(P306&lt;&gt;"""", GOOGLETRANSLATE(P306, ""RO"", ""EN""), """")"),"")</f>
        <v/>
      </c>
      <c r="F306" s="5" t="str">
        <f>IFERROR(__xludf.DUMMYFUNCTION("IF(Q306&lt;&gt;"""", GOOGLETRANSLATE(Q306, ""RO"", ""EN""), """")"),"")</f>
        <v/>
      </c>
      <c r="G306" s="5" t="str">
        <f>IFERROR(__xludf.DUMMYFUNCTION("IF(R306&lt;&gt;"""", GOOGLETRANSLATE(R306, ""RO"", ""EN""), """")"),"")</f>
        <v/>
      </c>
      <c r="H306" s="5" t="str">
        <f>IFERROR(__xludf.DUMMYFUNCTION("IF(U306&lt;&gt;"""", GOOGLETRANSLATE(U306, ""RO"", ""EN""), """")"),"")</f>
        <v/>
      </c>
      <c r="I306" s="5" t="str">
        <f>IFERROR(__xludf.DUMMYFUNCTION("IF(V306&lt;&gt;"""", GOOGLETRANSLATE(V306, ""RO"", ""EN""), """")"),"")</f>
        <v/>
      </c>
      <c r="J306" s="5" t="str">
        <f>IFERROR(__xludf.DUMMYFUNCTION("IF(W306&lt;&gt;"""", GOOGLETRANSLATE(W306, ""RO"", ""EN""), """")"),"")</f>
        <v/>
      </c>
      <c r="K306" s="5" t="str">
        <f>IFERROR(__xludf.DUMMYFUNCTION("IF(X306&lt;&gt;"""", GOOGLETRANSLATE(X306, ""RO"", ""EN""), """")"),"")</f>
        <v/>
      </c>
      <c r="L306" s="5" t="str">
        <f>IFERROR(__xludf.DUMMYFUNCTION("IF(S306&lt;&gt;"""", GOOGLETRANSLATE(S306, ""RO"", ""EN""), """")"),"Ns")</f>
        <v>Ns</v>
      </c>
      <c r="M306" s="5" t="str">
        <f>IFERROR(__xludf.DUMMYFUNCTION("IF(T306&lt;&gt;"""", GOOGLETRANSLATE(T306, ""RO"", ""EN""), """")"),"No.")</f>
        <v>No.</v>
      </c>
      <c r="N306" s="5" t="str">
        <f>IFERROR(__xludf.DUMMYFUNCTION("IF(Y306&lt;&gt;"""", GOOGLETRANSLATE(Y306, ""RO"", ""EN""), """")"),"")</f>
        <v/>
      </c>
      <c r="O306" s="4" t="s">
        <v>928</v>
      </c>
      <c r="S306" s="4" t="s">
        <v>103</v>
      </c>
      <c r="T306" s="4" t="s">
        <v>104</v>
      </c>
    </row>
    <row r="307" ht="15.75" customHeight="1">
      <c r="A307" s="4" t="s">
        <v>929</v>
      </c>
      <c r="B307" s="4" t="s">
        <v>930</v>
      </c>
      <c r="C307" s="4" t="str">
        <f>IFERROR(__xludf.DUMMYFUNCTION("GOOGLETRANSLATE(B307, ""RO"", ""EN"")"),"But your personal income last month (October) was about ...?")</f>
        <v>But your personal income last month (October) was about ...?</v>
      </c>
      <c r="D307" s="5" t="str">
        <f>IFERROR(__xludf.DUMMYFUNCTION("IF(O307&lt;&gt;"""", GOOGLETRANSLATE(O307, ""RO"", ""EN""), """")"),"No income")</f>
        <v>No income</v>
      </c>
      <c r="E307" s="6" t="str">
        <f>IFERROR(__xludf.DUMMYFUNCTION("IF(P307&lt;&gt;"""", GOOGLETRANSLATE(P307, ""RO"", ""EN""), """")"),"")</f>
        <v/>
      </c>
      <c r="F307" s="5" t="str">
        <f>IFERROR(__xludf.DUMMYFUNCTION("IF(Q307&lt;&gt;"""", GOOGLETRANSLATE(Q307, ""RO"", ""EN""), """")"),"")</f>
        <v/>
      </c>
      <c r="G307" s="5" t="str">
        <f>IFERROR(__xludf.DUMMYFUNCTION("IF(R307&lt;&gt;"""", GOOGLETRANSLATE(R307, ""RO"", ""EN""), """")"),"")</f>
        <v/>
      </c>
      <c r="H307" s="5" t="str">
        <f>IFERROR(__xludf.DUMMYFUNCTION("IF(U307&lt;&gt;"""", GOOGLETRANSLATE(U307, ""RO"", ""EN""), """")"),"")</f>
        <v/>
      </c>
      <c r="I307" s="5" t="str">
        <f>IFERROR(__xludf.DUMMYFUNCTION("IF(V307&lt;&gt;"""", GOOGLETRANSLATE(V307, ""RO"", ""EN""), """")"),"")</f>
        <v/>
      </c>
      <c r="J307" s="5" t="str">
        <f>IFERROR(__xludf.DUMMYFUNCTION("IF(W307&lt;&gt;"""", GOOGLETRANSLATE(W307, ""RO"", ""EN""), """")"),"")</f>
        <v/>
      </c>
      <c r="K307" s="5" t="str">
        <f>IFERROR(__xludf.DUMMYFUNCTION("IF(X307&lt;&gt;"""", GOOGLETRANSLATE(X307, ""RO"", ""EN""), """")"),"")</f>
        <v/>
      </c>
      <c r="L307" s="5" t="str">
        <f>IFERROR(__xludf.DUMMYFUNCTION("IF(S307&lt;&gt;"""", GOOGLETRANSLATE(S307, ""RO"", ""EN""), """")"),"Ns")</f>
        <v>Ns</v>
      </c>
      <c r="M307" s="5" t="str">
        <f>IFERROR(__xludf.DUMMYFUNCTION("IF(T307&lt;&gt;"""", GOOGLETRANSLATE(T307, ""RO"", ""EN""), """")"),"No.")</f>
        <v>No.</v>
      </c>
      <c r="N307" s="5" t="str">
        <f>IFERROR(__xludf.DUMMYFUNCTION("IF(Y307&lt;&gt;"""", GOOGLETRANSLATE(Y307, ""RO"", ""EN""), """")"),"")</f>
        <v/>
      </c>
      <c r="O307" s="4" t="s">
        <v>928</v>
      </c>
      <c r="S307" s="4" t="s">
        <v>103</v>
      </c>
      <c r="T307" s="4" t="s">
        <v>104</v>
      </c>
    </row>
    <row r="308" ht="15.75" customHeight="1">
      <c r="A308" s="4" t="s">
        <v>931</v>
      </c>
      <c r="B308" s="4" t="s">
        <v>932</v>
      </c>
      <c r="C308" s="4" t="str">
        <f>IFERROR(__xludf.DUMMYFUNCTION("GOOGLETRANSLATE(B308, ""RO"", ""EN"")"),"In your household, how often do you receive money from abroad (from a family/relative member who lives/works abroad)?")</f>
        <v>In your household, how often do you receive money from abroad (from a family/relative member who lives/works abroad)?</v>
      </c>
      <c r="D308" s="5" t="str">
        <f>IFERROR(__xludf.DUMMYFUNCTION("IF(O308&lt;&gt;"""", GOOGLETRANSLATE(O308, ""RO"", ""EN""), """")"),"Never")</f>
        <v>Never</v>
      </c>
      <c r="E308" s="6" t="str">
        <f>IFERROR(__xludf.DUMMYFUNCTION("IF(P308&lt;&gt;"""", GOOGLETRANSLATE(P308, ""RO"", ""EN""), """")"),"Once a year")</f>
        <v>Once a year</v>
      </c>
      <c r="F308" s="5" t="str">
        <f>IFERROR(__xludf.DUMMYFUNCTION("IF(Q308&lt;&gt;"""", GOOGLETRANSLATE(Q308, ""RO"", ""EN""), """")"),"Several times a year")</f>
        <v>Several times a year</v>
      </c>
      <c r="G308" s="5" t="str">
        <f>IFERROR(__xludf.DUMMYFUNCTION("IF(R308&lt;&gt;"""", GOOGLETRANSLATE(R308, ""RO"", ""EN""), """")"),"Once every 2-3 months")</f>
        <v>Once every 2-3 months</v>
      </c>
      <c r="H308" s="5" t="str">
        <f>IFERROR(__xludf.DUMMYFUNCTION("IF(U308&lt;&gt;"""", GOOGLETRANSLATE(U308, ""RO"", ""EN""), """")"),"Monthly")</f>
        <v>Monthly</v>
      </c>
      <c r="I308" s="5" t="str">
        <f>IFERROR(__xludf.DUMMYFUNCTION("IF(V308&lt;&gt;"""", GOOGLETRANSLATE(V308, ""RO"", ""EN""), """")"),"More often")</f>
        <v>More often</v>
      </c>
      <c r="J308" s="5" t="str">
        <f>IFERROR(__xludf.DUMMYFUNCTION("IF(W308&lt;&gt;"""", GOOGLETRANSLATE(W308, ""RO"", ""EN""), """")"),"")</f>
        <v/>
      </c>
      <c r="K308" s="5" t="str">
        <f>IFERROR(__xludf.DUMMYFUNCTION("IF(X308&lt;&gt;"""", GOOGLETRANSLATE(X308, ""RO"", ""EN""), """")"),"")</f>
        <v/>
      </c>
      <c r="L308" s="5" t="str">
        <f>IFERROR(__xludf.DUMMYFUNCTION("IF(S308&lt;&gt;"""", GOOGLETRANSLATE(S308, ""RO"", ""EN""), """")"),"Ns")</f>
        <v>Ns</v>
      </c>
      <c r="M308" s="5" t="str">
        <f>IFERROR(__xludf.DUMMYFUNCTION("IF(T308&lt;&gt;"""", GOOGLETRANSLATE(T308, ""RO"", ""EN""), """")"),"No.")</f>
        <v>No.</v>
      </c>
      <c r="N308" s="5" t="str">
        <f>IFERROR(__xludf.DUMMYFUNCTION("IF(Y308&lt;&gt;"""", GOOGLETRANSLATE(Y308, ""RO"", ""EN""), """")"),"")</f>
        <v/>
      </c>
      <c r="O308" s="4" t="s">
        <v>282</v>
      </c>
      <c r="P308" s="4" t="s">
        <v>933</v>
      </c>
      <c r="Q308" s="4" t="s">
        <v>934</v>
      </c>
      <c r="R308" s="4" t="s">
        <v>935</v>
      </c>
      <c r="S308" s="4" t="s">
        <v>103</v>
      </c>
      <c r="T308" s="4" t="s">
        <v>104</v>
      </c>
      <c r="U308" s="4" t="s">
        <v>936</v>
      </c>
      <c r="V308" s="4" t="s">
        <v>937</v>
      </c>
    </row>
    <row r="309" ht="15.75" customHeight="1">
      <c r="A309" s="4" t="s">
        <v>938</v>
      </c>
      <c r="B309" s="4" t="s">
        <v>939</v>
      </c>
      <c r="C309" s="4" t="str">
        <f>IFERROR(__xludf.DUMMYFUNCTION("GOOGLETRANSLATE(B309, ""RO"", ""EN"")"),"What amount do you usually receive?")</f>
        <v>What amount do you usually receive?</v>
      </c>
      <c r="D309" s="5" t="str">
        <f>IFERROR(__xludf.DUMMYFUNCTION("IF(O309&lt;&gt;"""", GOOGLETRANSLATE(O309, ""RO"", ""EN""), """")"),"")</f>
        <v/>
      </c>
      <c r="E309" s="6" t="str">
        <f>IFERROR(__xludf.DUMMYFUNCTION("IF(P309&lt;&gt;"""", GOOGLETRANSLATE(P309, ""RO"", ""EN""), """")"),"")</f>
        <v/>
      </c>
      <c r="F309" s="5" t="str">
        <f>IFERROR(__xludf.DUMMYFUNCTION("IF(Q309&lt;&gt;"""", GOOGLETRANSLATE(Q309, ""RO"", ""EN""), """")"),"")</f>
        <v/>
      </c>
      <c r="G309" s="5" t="str">
        <f>IFERROR(__xludf.DUMMYFUNCTION("IF(R309&lt;&gt;"""", GOOGLETRANSLATE(R309, ""RO"", ""EN""), """")"),"")</f>
        <v/>
      </c>
      <c r="H309" s="5" t="str">
        <f>IFERROR(__xludf.DUMMYFUNCTION("IF(U309&lt;&gt;"""", GOOGLETRANSLATE(U309, ""RO"", ""EN""), """")"),"")</f>
        <v/>
      </c>
      <c r="I309" s="5" t="str">
        <f>IFERROR(__xludf.DUMMYFUNCTION("IF(V309&lt;&gt;"""", GOOGLETRANSLATE(V309, ""RO"", ""EN""), """")"),"")</f>
        <v/>
      </c>
      <c r="J309" s="5" t="str">
        <f>IFERROR(__xludf.DUMMYFUNCTION("IF(W309&lt;&gt;"""", GOOGLETRANSLATE(W309, ""RO"", ""EN""), """")"),"")</f>
        <v/>
      </c>
      <c r="K309" s="5" t="str">
        <f>IFERROR(__xludf.DUMMYFUNCTION("IF(X309&lt;&gt;"""", GOOGLETRANSLATE(X309, ""RO"", ""EN""), """")"),"")</f>
        <v/>
      </c>
      <c r="L309" s="5" t="str">
        <f>IFERROR(__xludf.DUMMYFUNCTION("IF(S309&lt;&gt;"""", GOOGLETRANSLATE(S309, ""RO"", ""EN""), """")"),"")</f>
        <v/>
      </c>
      <c r="M309" s="5" t="str">
        <f>IFERROR(__xludf.DUMMYFUNCTION("IF(T309&lt;&gt;"""", GOOGLETRANSLATE(T309, ""RO"", ""EN""), """")"),"")</f>
        <v/>
      </c>
      <c r="N309" s="5" t="str">
        <f>IFERROR(__xludf.DUMMYFUNCTION("IF(Y309&lt;&gt;"""", GOOGLETRANSLATE(Y309, ""RO"", ""EN""), """")"),"")</f>
        <v/>
      </c>
    </row>
    <row r="310" ht="15.75" customHeight="1">
      <c r="A310" s="4" t="s">
        <v>940</v>
      </c>
      <c r="B310" s="4" t="s">
        <v>941</v>
      </c>
      <c r="C310" s="4" t="str">
        <f>IFERROR(__xludf.DUMMYFUNCTION("GOOGLETRANSLATE(B310, ""RO"", ""EN"")"),"Currency")</f>
        <v>Currency</v>
      </c>
      <c r="D310" s="5" t="str">
        <f>IFERROR(__xludf.DUMMYFUNCTION("IF(O310&lt;&gt;"""", GOOGLETRANSLATE(O310, ""RO"", ""EN""), """")"),"")</f>
        <v/>
      </c>
      <c r="E310" s="6" t="str">
        <f>IFERROR(__xludf.DUMMYFUNCTION("IF(P310&lt;&gt;"""", GOOGLETRANSLATE(P310, ""RO"", ""EN""), """")"),"EURO")</f>
        <v>EURO</v>
      </c>
      <c r="F310" s="5" t="str">
        <f>IFERROR(__xludf.DUMMYFUNCTION("IF(Q310&lt;&gt;"""", GOOGLETRANSLATE(Q310, ""RO"", ""EN""), """")"),"USD")</f>
        <v>USD</v>
      </c>
      <c r="G310" s="5" t="str">
        <f>IFERROR(__xludf.DUMMYFUNCTION("IF(R310&lt;&gt;"""", GOOGLETRANSLATE(R310, ""RO"", ""EN""), """")"),"Ron")</f>
        <v>Ron</v>
      </c>
      <c r="H310" s="5" t="str">
        <f>IFERROR(__xludf.DUMMYFUNCTION("IF(U310&lt;&gt;"""", GOOGLETRANSLATE(U310, ""RO"", ""EN""), """")"),"")</f>
        <v/>
      </c>
      <c r="I310" s="5" t="str">
        <f>IFERROR(__xludf.DUMMYFUNCTION("IF(V310&lt;&gt;"""", GOOGLETRANSLATE(V310, ""RO"", ""EN""), """")"),"")</f>
        <v/>
      </c>
      <c r="J310" s="5" t="str">
        <f>IFERROR(__xludf.DUMMYFUNCTION("IF(W310&lt;&gt;"""", GOOGLETRANSLATE(W310, ""RO"", ""EN""), """")"),"")</f>
        <v/>
      </c>
      <c r="K310" s="5" t="str">
        <f>IFERROR(__xludf.DUMMYFUNCTION("IF(X310&lt;&gt;"""", GOOGLETRANSLATE(X310, ""RO"", ""EN""), """")"),"")</f>
        <v/>
      </c>
      <c r="L310" s="5" t="str">
        <f>IFERROR(__xludf.DUMMYFUNCTION("IF(S310&lt;&gt;"""", GOOGLETRANSLATE(S310, ""RO"", ""EN""), """")"),"")</f>
        <v/>
      </c>
      <c r="M310" s="5" t="str">
        <f>IFERROR(__xludf.DUMMYFUNCTION("IF(T310&lt;&gt;"""", GOOGLETRANSLATE(T310, ""RO"", ""EN""), """")"),"No.")</f>
        <v>No.</v>
      </c>
      <c r="N310" s="5" t="str">
        <f>IFERROR(__xludf.DUMMYFUNCTION("IF(Y310&lt;&gt;"""", GOOGLETRANSLATE(Y310, ""RO"", ""EN""), """")"),"")</f>
        <v/>
      </c>
      <c r="P310" s="4" t="s">
        <v>942</v>
      </c>
      <c r="Q310" s="4" t="s">
        <v>943</v>
      </c>
      <c r="R310" s="4" t="s">
        <v>944</v>
      </c>
      <c r="T310" s="4" t="s">
        <v>104</v>
      </c>
    </row>
    <row r="311" ht="15.75" customHeight="1">
      <c r="A311" s="4" t="s">
        <v>945</v>
      </c>
      <c r="B311" s="4" t="s">
        <v>946</v>
      </c>
      <c r="C311" s="4" t="str">
        <f>IFERROR(__xludf.DUMMYFUNCTION("GOOGLETRANSLATE(B311, ""RO"", ""EN"")"),"Do you have a disease or infirmity that will prevent you from your activities?")</f>
        <v>Do you have a disease or infirmity that will prevent you from your activities?</v>
      </c>
      <c r="D311" s="5" t="str">
        <f>IFERROR(__xludf.DUMMYFUNCTION("IF(O311&lt;&gt;"""", GOOGLETRANSLATE(O311, ""RO"", ""EN""), """")"),"")</f>
        <v/>
      </c>
      <c r="E311" s="6" t="str">
        <f>IFERROR(__xludf.DUMMYFUNCTION("IF(P311&lt;&gt;"""", GOOGLETRANSLATE(P311, ""RO"", ""EN""), """")"),"Yes")</f>
        <v>Yes</v>
      </c>
      <c r="F311" s="5" t="str">
        <f>IFERROR(__xludf.DUMMYFUNCTION("IF(Q311&lt;&gt;"""", GOOGLETRANSLATE(Q311, ""RO"", ""EN""), """")"),"Not")</f>
        <v>Not</v>
      </c>
      <c r="G311" s="5" t="str">
        <f>IFERROR(__xludf.DUMMYFUNCTION("IF(R311&lt;&gt;"""", GOOGLETRANSLATE(R311, ""RO"", ""EN""), """")"),"")</f>
        <v/>
      </c>
      <c r="H311" s="5" t="str">
        <f>IFERROR(__xludf.DUMMYFUNCTION("IF(U311&lt;&gt;"""", GOOGLETRANSLATE(U311, ""RO"", ""EN""), """")"),"")</f>
        <v/>
      </c>
      <c r="I311" s="5" t="str">
        <f>IFERROR(__xludf.DUMMYFUNCTION("IF(V311&lt;&gt;"""", GOOGLETRANSLATE(V311, ""RO"", ""EN""), """")"),"")</f>
        <v/>
      </c>
      <c r="J311" s="5" t="str">
        <f>IFERROR(__xludf.DUMMYFUNCTION("IF(W311&lt;&gt;"""", GOOGLETRANSLATE(W311, ""RO"", ""EN""), """")"),"")</f>
        <v/>
      </c>
      <c r="K311" s="5" t="str">
        <f>IFERROR(__xludf.DUMMYFUNCTION("IF(X311&lt;&gt;"""", GOOGLETRANSLATE(X311, ""RO"", ""EN""), """")"),"")</f>
        <v/>
      </c>
      <c r="L311" s="5" t="str">
        <f>IFERROR(__xludf.DUMMYFUNCTION("IF(S311&lt;&gt;"""", GOOGLETRANSLATE(S311, ""RO"", ""EN""), """")"),"Ns")</f>
        <v>Ns</v>
      </c>
      <c r="M311" s="5" t="str">
        <f>IFERROR(__xludf.DUMMYFUNCTION("IF(T311&lt;&gt;"""", GOOGLETRANSLATE(T311, ""RO"", ""EN""), """")"),"No.")</f>
        <v>No.</v>
      </c>
      <c r="N311" s="5" t="str">
        <f>IFERROR(__xludf.DUMMYFUNCTION("IF(Y311&lt;&gt;"""", GOOGLETRANSLATE(Y311, ""RO"", ""EN""), """")"),"")</f>
        <v/>
      </c>
      <c r="P311" s="4" t="s">
        <v>639</v>
      </c>
      <c r="Q311" s="4" t="s">
        <v>640</v>
      </c>
      <c r="S311" s="4" t="s">
        <v>103</v>
      </c>
      <c r="T311" s="4" t="s">
        <v>104</v>
      </c>
    </row>
    <row r="312" ht="15.75" customHeight="1">
      <c r="A312" s="4" t="s">
        <v>947</v>
      </c>
      <c r="B312" s="4" t="s">
        <v>948</v>
      </c>
      <c r="C312" s="4" t="str">
        <f>IFERROR(__xludf.DUMMYFUNCTION("GOOGLETRANSLATE(B312, ""RO"", ""EN"")"),"County code")</f>
        <v>County code</v>
      </c>
      <c r="D312" s="5" t="str">
        <f>IFERROR(__xludf.DUMMYFUNCTION("IF(O312&lt;&gt;"""", GOOGLETRANSLATE(O312, ""RO"", ""EN""), """")"),"")</f>
        <v/>
      </c>
      <c r="E312" s="6" t="str">
        <f>IFERROR(__xludf.DUMMYFUNCTION("IF(P312&lt;&gt;"""", GOOGLETRANSLATE(P312, ""RO"", ""EN""), """")"),"white")</f>
        <v>white</v>
      </c>
      <c r="F312" s="5" t="str">
        <f>IFERROR(__xludf.DUMMYFUNCTION("IF(Q312&lt;&gt;"""", GOOGLETRANSLATE(Q312, ""RO"", ""EN""), """")"),"Arad")</f>
        <v>Arad</v>
      </c>
      <c r="G312" s="5" t="str">
        <f>IFERROR(__xludf.DUMMYFUNCTION("IF(R312&lt;&gt;"""", GOOGLETRANSLATE(R312, ""RO"", ""EN""), """")"),"Arges")</f>
        <v>Arges</v>
      </c>
      <c r="H312" s="5" t="str">
        <f>IFERROR(__xludf.DUMMYFUNCTION("IF(U312&lt;&gt;"""", GOOGLETRANSLATE(U312, ""RO"", ""EN""), """")"),"Bacau")</f>
        <v>Bacau</v>
      </c>
      <c r="I312" s="5" t="str">
        <f>IFERROR(__xludf.DUMMYFUNCTION("IF(V312&lt;&gt;"""", GOOGLETRANSLATE(V312, ""RO"", ""EN""), """")"),"Bihor")</f>
        <v>Bihor</v>
      </c>
      <c r="J312" s="5" t="str">
        <f>IFERROR(__xludf.DUMMYFUNCTION("IF(W312&lt;&gt;"""", GOOGLETRANSLATE(W312, ""RO"", ""EN""), """")"),"BISTRIŢA")</f>
        <v>BISTRIŢA</v>
      </c>
      <c r="K312" s="5" t="str">
        <f>IFERROR(__xludf.DUMMYFUNCTION("IF(X312&lt;&gt;"""", GOOGLETRANSLATE(X312, ""RO"", ""EN""), """")"),"Botosani")</f>
        <v>Botosani</v>
      </c>
      <c r="L312" s="5" t="str">
        <f>IFERROR(__xludf.DUMMYFUNCTION("IF(S312&lt;&gt;"""", GOOGLETRANSLATE(S312, ""RO"", ""EN""), """")"),"Brasov")</f>
        <v>Brasov</v>
      </c>
      <c r="M312" s="5" t="str">
        <f>IFERROR(__xludf.DUMMYFUNCTION("IF(T312&lt;&gt;"""", GOOGLETRANSLATE(T312, ""RO"", ""EN""), """")"),"Braille")</f>
        <v>Braille</v>
      </c>
      <c r="N312" s="5" t="str">
        <f>IFERROR(__xludf.DUMMYFUNCTION("IF(Y312&lt;&gt;"""", GOOGLETRANSLATE(Y312, ""RO"", ""EN""), """")"),"Buzau")</f>
        <v>Buzau</v>
      </c>
      <c r="P312" s="4" t="s">
        <v>949</v>
      </c>
      <c r="Q312" s="4" t="s">
        <v>950</v>
      </c>
      <c r="R312" s="4" t="s">
        <v>951</v>
      </c>
      <c r="S312" s="4" t="s">
        <v>952</v>
      </c>
      <c r="T312" s="4" t="s">
        <v>953</v>
      </c>
      <c r="U312" s="4" t="s">
        <v>954</v>
      </c>
      <c r="V312" s="4" t="s">
        <v>955</v>
      </c>
      <c r="W312" s="4" t="s">
        <v>956</v>
      </c>
      <c r="X312" s="4" t="s">
        <v>957</v>
      </c>
      <c r="Y312" s="4" t="s">
        <v>958</v>
      </c>
      <c r="AH312" s="4" t="s">
        <v>959</v>
      </c>
      <c r="AI312" s="4" t="s">
        <v>960</v>
      </c>
      <c r="AJ312" s="4" t="s">
        <v>961</v>
      </c>
      <c r="AK312" s="4" t="s">
        <v>962</v>
      </c>
      <c r="AL312" s="4" t="s">
        <v>963</v>
      </c>
      <c r="AM312" s="4" t="s">
        <v>964</v>
      </c>
      <c r="AN312" s="4" t="s">
        <v>965</v>
      </c>
      <c r="AO312" s="4" t="s">
        <v>966</v>
      </c>
      <c r="AP312" s="4" t="s">
        <v>967</v>
      </c>
      <c r="AQ312" s="4" t="s">
        <v>968</v>
      </c>
      <c r="AR312" s="4" t="s">
        <v>969</v>
      </c>
      <c r="AS312" s="4" t="s">
        <v>970</v>
      </c>
      <c r="AT312" s="4" t="s">
        <v>971</v>
      </c>
      <c r="AU312" s="4" t="s">
        <v>972</v>
      </c>
      <c r="AV312" s="4" t="s">
        <v>973</v>
      </c>
      <c r="AW312" s="4" t="s">
        <v>974</v>
      </c>
      <c r="AX312" s="4" t="s">
        <v>975</v>
      </c>
      <c r="AY312" s="4" t="s">
        <v>976</v>
      </c>
      <c r="AZ312" s="4" t="s">
        <v>977</v>
      </c>
      <c r="BA312" s="4" t="s">
        <v>978</v>
      </c>
      <c r="BB312" s="4" t="s">
        <v>979</v>
      </c>
      <c r="BC312" s="4" t="s">
        <v>980</v>
      </c>
      <c r="BD312" s="4" t="s">
        <v>981</v>
      </c>
      <c r="BE312" s="4" t="s">
        <v>982</v>
      </c>
      <c r="BF312" s="4" t="s">
        <v>983</v>
      </c>
      <c r="BG312" s="4" t="s">
        <v>984</v>
      </c>
      <c r="BH312" s="4" t="s">
        <v>985</v>
      </c>
      <c r="BI312" s="4" t="s">
        <v>986</v>
      </c>
      <c r="BJ312" s="4" t="s">
        <v>987</v>
      </c>
      <c r="BK312" s="4" t="s">
        <v>988</v>
      </c>
      <c r="BL312" s="4" t="s">
        <v>989</v>
      </c>
      <c r="BM312" s="4" t="s">
        <v>990</v>
      </c>
    </row>
    <row r="313" ht="15.75" customHeight="1">
      <c r="A313" s="4" t="s">
        <v>991</v>
      </c>
      <c r="B313" s="4" t="s">
        <v>992</v>
      </c>
      <c r="C313" s="4" t="str">
        <f>IFERROR(__xludf.DUMMYFUNCTION("GOOGLETRANSLATE(B313, ""RO"", ""EN"")"),"Name of sample locality")</f>
        <v>Name of sample locality</v>
      </c>
      <c r="D313" s="5" t="str">
        <f>IFERROR(__xludf.DUMMYFUNCTION("IF(O313&lt;&gt;"""", GOOGLETRANSLATE(O313, ""RO"", ""EN""), """")"),"")</f>
        <v/>
      </c>
      <c r="E313" s="6" t="str">
        <f>IFERROR(__xludf.DUMMYFUNCTION("IF(P313&lt;&gt;"""", GOOGLETRANSLATE(P313, ""RO"", ""EN""), """")"),"")</f>
        <v/>
      </c>
      <c r="F313" s="5" t="str">
        <f>IFERROR(__xludf.DUMMYFUNCTION("IF(Q313&lt;&gt;"""", GOOGLETRANSLATE(Q313, ""RO"", ""EN""), """")"),"")</f>
        <v/>
      </c>
      <c r="G313" s="5" t="str">
        <f>IFERROR(__xludf.DUMMYFUNCTION("IF(R313&lt;&gt;"""", GOOGLETRANSLATE(R313, ""RO"", ""EN""), """")"),"")</f>
        <v/>
      </c>
      <c r="H313" s="5" t="str">
        <f>IFERROR(__xludf.DUMMYFUNCTION("IF(U313&lt;&gt;"""", GOOGLETRANSLATE(U313, ""RO"", ""EN""), """")"),"")</f>
        <v/>
      </c>
      <c r="I313" s="5" t="str">
        <f>IFERROR(__xludf.DUMMYFUNCTION("IF(V313&lt;&gt;"""", GOOGLETRANSLATE(V313, ""RO"", ""EN""), """")"),"")</f>
        <v/>
      </c>
      <c r="J313" s="5" t="str">
        <f>IFERROR(__xludf.DUMMYFUNCTION("IF(W313&lt;&gt;"""", GOOGLETRANSLATE(W313, ""RO"", ""EN""), """")"),"")</f>
        <v/>
      </c>
      <c r="K313" s="5" t="str">
        <f>IFERROR(__xludf.DUMMYFUNCTION("IF(X313&lt;&gt;"""", GOOGLETRANSLATE(X313, ""RO"", ""EN""), """")"),"")</f>
        <v/>
      </c>
      <c r="L313" s="5" t="str">
        <f>IFERROR(__xludf.DUMMYFUNCTION("IF(S313&lt;&gt;"""", GOOGLETRANSLATE(S313, ""RO"", ""EN""), """")"),"")</f>
        <v/>
      </c>
      <c r="M313" s="5" t="str">
        <f>IFERROR(__xludf.DUMMYFUNCTION("IF(T313&lt;&gt;"""", GOOGLETRANSLATE(T313, ""RO"", ""EN""), """")"),"")</f>
        <v/>
      </c>
      <c r="N313" s="5" t="str">
        <f>IFERROR(__xludf.DUMMYFUNCTION("IF(Y313&lt;&gt;"""", GOOGLETRANSLATE(Y313, ""RO"", ""EN""), """")"),"")</f>
        <v/>
      </c>
    </row>
    <row r="314" ht="15.75" customHeight="1">
      <c r="A314" s="4" t="s">
        <v>993</v>
      </c>
      <c r="B314" s="4" t="s">
        <v>994</v>
      </c>
      <c r="C314" s="4" t="str">
        <f>IFERROR(__xludf.DUMMYFUNCTION("GOOGLETRANSLATE(B314, ""RO"", ""EN"")"),"Sirsup code")</f>
        <v>Sirsup code</v>
      </c>
      <c r="D314" s="5" t="str">
        <f>IFERROR(__xludf.DUMMYFUNCTION("IF(O314&lt;&gt;"""", GOOGLETRANSLATE(O314, ""RO"", ""EN""), """")"),"")</f>
        <v/>
      </c>
      <c r="E314" s="6" t="str">
        <f>IFERROR(__xludf.DUMMYFUNCTION("IF(P314&lt;&gt;"""", GOOGLETRANSLATE(P314, ""RO"", ""EN""), """")"),"")</f>
        <v/>
      </c>
      <c r="F314" s="5" t="str">
        <f>IFERROR(__xludf.DUMMYFUNCTION("IF(Q314&lt;&gt;"""", GOOGLETRANSLATE(Q314, ""RO"", ""EN""), """")"),"")</f>
        <v/>
      </c>
      <c r="G314" s="5" t="str">
        <f>IFERROR(__xludf.DUMMYFUNCTION("IF(R314&lt;&gt;"""", GOOGLETRANSLATE(R314, ""RO"", ""EN""), """")"),"")</f>
        <v/>
      </c>
      <c r="H314" s="5" t="str">
        <f>IFERROR(__xludf.DUMMYFUNCTION("IF(U314&lt;&gt;"""", GOOGLETRANSLATE(U314, ""RO"", ""EN""), """")"),"")</f>
        <v/>
      </c>
      <c r="I314" s="5" t="str">
        <f>IFERROR(__xludf.DUMMYFUNCTION("IF(V314&lt;&gt;"""", GOOGLETRANSLATE(V314, ""RO"", ""EN""), """")"),"")</f>
        <v/>
      </c>
      <c r="J314" s="5" t="str">
        <f>IFERROR(__xludf.DUMMYFUNCTION("IF(W314&lt;&gt;"""", GOOGLETRANSLATE(W314, ""RO"", ""EN""), """")"),"")</f>
        <v/>
      </c>
      <c r="K314" s="5" t="str">
        <f>IFERROR(__xludf.DUMMYFUNCTION("IF(X314&lt;&gt;"""", GOOGLETRANSLATE(X314, ""RO"", ""EN""), """")"),"")</f>
        <v/>
      </c>
      <c r="L314" s="5" t="str">
        <f>IFERROR(__xludf.DUMMYFUNCTION("IF(S314&lt;&gt;"""", GOOGLETRANSLATE(S314, ""RO"", ""EN""), """")"),"")</f>
        <v/>
      </c>
      <c r="M314" s="5" t="str">
        <f>IFERROR(__xludf.DUMMYFUNCTION("IF(T314&lt;&gt;"""", GOOGLETRANSLATE(T314, ""RO"", ""EN""), """")"),"")</f>
        <v/>
      </c>
      <c r="N314" s="5" t="str">
        <f>IFERROR(__xludf.DUMMYFUNCTION("IF(Y314&lt;&gt;"""", GOOGLETRANSLATE(Y314, ""RO"", ""EN""), """")"),"")</f>
        <v/>
      </c>
    </row>
    <row r="315" ht="15.75" customHeight="1">
      <c r="A315" s="4" t="s">
        <v>995</v>
      </c>
      <c r="B315" s="4" t="s">
        <v>996</v>
      </c>
      <c r="C315" s="4" t="str">
        <f>IFERROR(__xludf.DUMMYFUNCTION("GOOGLETRANSLATE(B315, ""RO"", ""EN"")"),"Voting section")</f>
        <v>Voting section</v>
      </c>
      <c r="D315" s="5" t="str">
        <f>IFERROR(__xludf.DUMMYFUNCTION("IF(O315&lt;&gt;"""", GOOGLETRANSLATE(O315, ""RO"", ""EN""), """")"),"")</f>
        <v/>
      </c>
      <c r="E315" s="6" t="str">
        <f>IFERROR(__xludf.DUMMYFUNCTION("IF(P315&lt;&gt;"""", GOOGLETRANSLATE(P315, ""RO"", ""EN""), """")"),"")</f>
        <v/>
      </c>
      <c r="F315" s="5" t="str">
        <f>IFERROR(__xludf.DUMMYFUNCTION("IF(Q315&lt;&gt;"""", GOOGLETRANSLATE(Q315, ""RO"", ""EN""), """")"),"")</f>
        <v/>
      </c>
      <c r="G315" s="5" t="str">
        <f>IFERROR(__xludf.DUMMYFUNCTION("IF(R315&lt;&gt;"""", GOOGLETRANSLATE(R315, ""RO"", ""EN""), """")"),"")</f>
        <v/>
      </c>
      <c r="H315" s="5" t="str">
        <f>IFERROR(__xludf.DUMMYFUNCTION("IF(U315&lt;&gt;"""", GOOGLETRANSLATE(U315, ""RO"", ""EN""), """")"),"")</f>
        <v/>
      </c>
      <c r="I315" s="5" t="str">
        <f>IFERROR(__xludf.DUMMYFUNCTION("IF(V315&lt;&gt;"""", GOOGLETRANSLATE(V315, ""RO"", ""EN""), """")"),"")</f>
        <v/>
      </c>
      <c r="J315" s="5" t="str">
        <f>IFERROR(__xludf.DUMMYFUNCTION("IF(W315&lt;&gt;"""", GOOGLETRANSLATE(W315, ""RO"", ""EN""), """")"),"")</f>
        <v/>
      </c>
      <c r="K315" s="5" t="str">
        <f>IFERROR(__xludf.DUMMYFUNCTION("IF(X315&lt;&gt;"""", GOOGLETRANSLATE(X315, ""RO"", ""EN""), """")"),"")</f>
        <v/>
      </c>
      <c r="L315" s="5" t="str">
        <f>IFERROR(__xludf.DUMMYFUNCTION("IF(S315&lt;&gt;"""", GOOGLETRANSLATE(S315, ""RO"", ""EN""), """")"),"")</f>
        <v/>
      </c>
      <c r="M315" s="5" t="str">
        <f>IFERROR(__xludf.DUMMYFUNCTION("IF(T315&lt;&gt;"""", GOOGLETRANSLATE(T315, ""RO"", ""EN""), """")"),"")</f>
        <v/>
      </c>
      <c r="N315" s="5" t="str">
        <f>IFERROR(__xludf.DUMMYFUNCTION("IF(Y315&lt;&gt;"""", GOOGLETRANSLATE(Y315, ""RO"", ""EN""), """")"),"")</f>
        <v/>
      </c>
    </row>
    <row r="316" ht="15.75" customHeight="1">
      <c r="A316" s="4" t="s">
        <v>997</v>
      </c>
      <c r="B316" s="4" t="s">
        <v>998</v>
      </c>
      <c r="C316" s="4" t="str">
        <f>IFERROR(__xludf.DUMMYFUNCTION("GOOGLETRANSLATE(B316, ""RO"", ""EN"")"),"Syrinf code")</f>
        <v>Syrinf code</v>
      </c>
      <c r="D316" s="5" t="str">
        <f>IFERROR(__xludf.DUMMYFUNCTION("IF(O316&lt;&gt;"""", GOOGLETRANSLATE(O316, ""RO"", ""EN""), """")"),"")</f>
        <v/>
      </c>
      <c r="E316" s="6" t="str">
        <f>IFERROR(__xludf.DUMMYFUNCTION("IF(P316&lt;&gt;"""", GOOGLETRANSLATE(P316, ""RO"", ""EN""), """")"),"")</f>
        <v/>
      </c>
      <c r="F316" s="5" t="str">
        <f>IFERROR(__xludf.DUMMYFUNCTION("IF(Q316&lt;&gt;"""", GOOGLETRANSLATE(Q316, ""RO"", ""EN""), """")"),"")</f>
        <v/>
      </c>
      <c r="G316" s="5" t="str">
        <f>IFERROR(__xludf.DUMMYFUNCTION("IF(R316&lt;&gt;"""", GOOGLETRANSLATE(R316, ""RO"", ""EN""), """")"),"")</f>
        <v/>
      </c>
      <c r="H316" s="5" t="str">
        <f>IFERROR(__xludf.DUMMYFUNCTION("IF(U316&lt;&gt;"""", GOOGLETRANSLATE(U316, ""RO"", ""EN""), """")"),"")</f>
        <v/>
      </c>
      <c r="I316" s="5" t="str">
        <f>IFERROR(__xludf.DUMMYFUNCTION("IF(V316&lt;&gt;"""", GOOGLETRANSLATE(V316, ""RO"", ""EN""), """")"),"")</f>
        <v/>
      </c>
      <c r="J316" s="5" t="str">
        <f>IFERROR(__xludf.DUMMYFUNCTION("IF(W316&lt;&gt;"""", GOOGLETRANSLATE(W316, ""RO"", ""EN""), """")"),"")</f>
        <v/>
      </c>
      <c r="K316" s="5" t="str">
        <f>IFERROR(__xludf.DUMMYFUNCTION("IF(X316&lt;&gt;"""", GOOGLETRANSLATE(X316, ""RO"", ""EN""), """")"),"")</f>
        <v/>
      </c>
      <c r="L316" s="5" t="str">
        <f>IFERROR(__xludf.DUMMYFUNCTION("IF(S316&lt;&gt;"""", GOOGLETRANSLATE(S316, ""RO"", ""EN""), """")"),"")</f>
        <v/>
      </c>
      <c r="M316" s="5" t="str">
        <f>IFERROR(__xludf.DUMMYFUNCTION("IF(T316&lt;&gt;"""", GOOGLETRANSLATE(T316, ""RO"", ""EN""), """")"),"")</f>
        <v/>
      </c>
      <c r="N316" s="5" t="str">
        <f>IFERROR(__xludf.DUMMYFUNCTION("IF(Y316&lt;&gt;"""", GOOGLETRANSLATE(Y316, ""RO"", ""EN""), """")"),"")</f>
        <v/>
      </c>
    </row>
    <row r="317" ht="15.75" customHeight="1">
      <c r="A317" s="4" t="s">
        <v>999</v>
      </c>
      <c r="C317" s="4" t="str">
        <f>IFERROR(__xludf.DUMMYFUNCTION("GOOGLETRANSLATE(B317, ""RO"", ""EN"")"),"#VALUE!")</f>
        <v>#VALUE!</v>
      </c>
      <c r="D317" s="5" t="str">
        <f>IFERROR(__xludf.DUMMYFUNCTION("IF(O317&lt;&gt;"""", GOOGLETRANSLATE(O317, ""RO"", ""EN""), """")"),"")</f>
        <v/>
      </c>
      <c r="E317" s="6" t="str">
        <f>IFERROR(__xludf.DUMMYFUNCTION("IF(P317&lt;&gt;"""", GOOGLETRANSLATE(P317, ""RO"", ""EN""), """")"),"")</f>
        <v/>
      </c>
      <c r="F317" s="5" t="str">
        <f>IFERROR(__xludf.DUMMYFUNCTION("IF(Q317&lt;&gt;"""", GOOGLETRANSLATE(Q317, ""RO"", ""EN""), """")"),"")</f>
        <v/>
      </c>
      <c r="G317" s="5" t="str">
        <f>IFERROR(__xludf.DUMMYFUNCTION("IF(R317&lt;&gt;"""", GOOGLETRANSLATE(R317, ""RO"", ""EN""), """")"),"")</f>
        <v/>
      </c>
      <c r="H317" s="5" t="str">
        <f>IFERROR(__xludf.DUMMYFUNCTION("IF(U317&lt;&gt;"""", GOOGLETRANSLATE(U317, ""RO"", ""EN""), """")"),"")</f>
        <v/>
      </c>
      <c r="I317" s="5" t="str">
        <f>IFERROR(__xludf.DUMMYFUNCTION("IF(V317&lt;&gt;"""", GOOGLETRANSLATE(V317, ""RO"", ""EN""), """")"),"")</f>
        <v/>
      </c>
      <c r="J317" s="5" t="str">
        <f>IFERROR(__xludf.DUMMYFUNCTION("IF(W317&lt;&gt;"""", GOOGLETRANSLATE(W317, ""RO"", ""EN""), """")"),"")</f>
        <v/>
      </c>
      <c r="K317" s="5" t="str">
        <f>IFERROR(__xludf.DUMMYFUNCTION("IF(X317&lt;&gt;"""", GOOGLETRANSLATE(X317, ""RO"", ""EN""), """")"),"")</f>
        <v/>
      </c>
      <c r="L317" s="5" t="str">
        <f>IFERROR(__xludf.DUMMYFUNCTION("IF(S317&lt;&gt;"""", GOOGLETRANSLATE(S317, ""RO"", ""EN""), """")"),"")</f>
        <v/>
      </c>
      <c r="M317" s="5" t="str">
        <f>IFERROR(__xludf.DUMMYFUNCTION("IF(T317&lt;&gt;"""", GOOGLETRANSLATE(T317, ""RO"", ""EN""), """")"),"")</f>
        <v/>
      </c>
      <c r="N317" s="5" t="str">
        <f>IFERROR(__xludf.DUMMYFUNCTION("IF(Y317&lt;&gt;"""", GOOGLETRANSLATE(Y317, ""RO"", ""EN""), """")"),"")</f>
        <v/>
      </c>
    </row>
    <row r="318" ht="15.75" customHeight="1">
      <c r="A318" s="4" t="s">
        <v>1000</v>
      </c>
      <c r="B318" s="4" t="s">
        <v>1001</v>
      </c>
      <c r="C318" s="4" t="str">
        <f>IFERROR(__xludf.DUMMYFUNCTION("GOOGLETRANSLATE(B318, ""RO"", ""EN"")"),"Locality type")</f>
        <v>Locality type</v>
      </c>
      <c r="D318" s="5" t="str">
        <f>IFERROR(__xludf.DUMMYFUNCTION("IF(O318&lt;&gt;"""", GOOGLETRANSLATE(O318, ""RO"", ""EN""), """")"),"")</f>
        <v/>
      </c>
      <c r="E318" s="6" t="str">
        <f>IFERROR(__xludf.DUMMYFUNCTION("IF(P318&lt;&gt;"""", GOOGLETRANSLATE(P318, ""RO"", ""EN""), """")"),"Mare City, over 200,000 inhabitants")</f>
        <v>Mare City, over 200,000 inhabitants</v>
      </c>
      <c r="F318" s="5" t="str">
        <f>IFERROR(__xludf.DUMMYFUNCTION("IF(Q318&lt;&gt;"""", GOOGLETRANSLATE(Q318, ""RO"", ""EN""), """")"),"Mare City, 100-200,000 inhabitants")</f>
        <v>Mare City, 100-200,000 inhabitants</v>
      </c>
      <c r="G318" s="5" t="str">
        <f>IFERROR(__xludf.DUMMYFUNCTION("IF(R318&lt;&gt;"""", GOOGLETRANSLATE(R318, ""RO"", ""EN""), """")"),"small town, 30-100,000 inhabitants")</f>
        <v>small town, 30-100,000 inhabitants</v>
      </c>
      <c r="H318" s="5" t="str">
        <f>IFERROR(__xludf.DUMMYFUNCTION("IF(U318&lt;&gt;"""", GOOGLETRANSLATE(U318, ""RO"", ""EN""), """")"),"Very small town, below 30,000 inhabitants")</f>
        <v>Very small town, below 30,000 inhabitants</v>
      </c>
      <c r="I318" s="5" t="str">
        <f>IFERROR(__xludf.DUMMYFUNCTION("IF(V318&lt;&gt;"""", GOOGLETRANSLATE(V318, ""RO"", ""EN""), """")"),"Commune center village")</f>
        <v>Commune center village</v>
      </c>
      <c r="J318" s="5" t="str">
        <f>IFERROR(__xludf.DUMMYFUNCTION("IF(W318&lt;&gt;"""", GOOGLETRANSLATE(W318, ""RO"", ""EN""), """")"),"village")</f>
        <v>village</v>
      </c>
      <c r="K318" s="5" t="str">
        <f>IFERROR(__xludf.DUMMYFUNCTION("IF(X318&lt;&gt;"""", GOOGLETRANSLATE(X318, ""RO"", ""EN""), """")"),"")</f>
        <v/>
      </c>
      <c r="L318" s="5" t="str">
        <f>IFERROR(__xludf.DUMMYFUNCTION("IF(S318&lt;&gt;"""", GOOGLETRANSLATE(S318, ""RO"", ""EN""), """")"),"")</f>
        <v/>
      </c>
      <c r="M318" s="5" t="str">
        <f>IFERROR(__xludf.DUMMYFUNCTION("IF(T318&lt;&gt;"""", GOOGLETRANSLATE(T318, ""RO"", ""EN""), """")"),"")</f>
        <v/>
      </c>
      <c r="N318" s="5" t="str">
        <f>IFERROR(__xludf.DUMMYFUNCTION("IF(Y318&lt;&gt;"""", GOOGLETRANSLATE(Y318, ""RO"", ""EN""), """")"),"")</f>
        <v/>
      </c>
      <c r="P318" s="4" t="s">
        <v>1002</v>
      </c>
      <c r="Q318" s="4" t="s">
        <v>1003</v>
      </c>
      <c r="R318" s="4" t="s">
        <v>1004</v>
      </c>
      <c r="U318" s="4" t="s">
        <v>1005</v>
      </c>
      <c r="V318" s="4" t="s">
        <v>1006</v>
      </c>
      <c r="W318" s="4" t="s">
        <v>1007</v>
      </c>
    </row>
    <row r="319" ht="15.75" customHeight="1">
      <c r="A319" s="4" t="s">
        <v>1008</v>
      </c>
      <c r="B319" s="4" t="s">
        <v>1009</v>
      </c>
      <c r="C319" s="4" t="str">
        <f>IFERROR(__xludf.DUMMYFUNCTION("GOOGLETRANSLATE(B319, ""RO"", ""EN"")"),"The home is")</f>
        <v>The home is</v>
      </c>
      <c r="D319" s="5" t="str">
        <f>IFERROR(__xludf.DUMMYFUNCTION("IF(O319&lt;&gt;"""", GOOGLETRANSLATE(O319, ""RO"", ""EN""), """")"),"")</f>
        <v/>
      </c>
      <c r="E319" s="6" t="str">
        <f>IFERROR(__xludf.DUMMYFUNCTION("IF(P319&lt;&gt;"""", GOOGLETRANSLATE(P319, ""RO"", ""EN""), """")"),"in an individual house")</f>
        <v>in an individual house</v>
      </c>
      <c r="F319" s="5" t="str">
        <f>IFERROR(__xludf.DUMMYFUNCTION("IF(Q319&lt;&gt;"""", GOOGLETRANSLATE(Q319, ""RO"", ""EN""), """")"),"In a house with multiple homes")</f>
        <v>In a house with multiple homes</v>
      </c>
      <c r="G319" s="5" t="str">
        <f>IFERROR(__xludf.DUMMYFUNCTION("IF(R319&lt;&gt;"""", GOOGLETRANSLATE(R319, ""RO"", ""EN""), """")"),"in a villa (2-4 apartments)")</f>
        <v>in a villa (2-4 apartments)</v>
      </c>
      <c r="H319" s="5" t="str">
        <f>IFERROR(__xludf.DUMMYFUNCTION("IF(U319&lt;&gt;"""", GOOGLETRANSLATE(U319, ""RO"", ""EN""), """")"),"in a block of comfort I or ii")</f>
        <v>in a block of comfort I or ii</v>
      </c>
      <c r="I319" s="5" t="str">
        <f>IFERROR(__xludf.DUMMYFUNCTION("IF(V319&lt;&gt;"""", GOOGLETRANSLATE(V319, ""RO"", ""EN""), """")"),"in a comfort block III, IV or former non-family home")</f>
        <v>in a comfort block III, IV or former non-family home</v>
      </c>
      <c r="J319" s="5" t="str">
        <f>IFERROR(__xludf.DUMMYFUNCTION("IF(W319&lt;&gt;"""", GOOGLETRANSLATE(W319, ""RO"", ""EN""), """")"),"in abandoned homes")</f>
        <v>in abandoned homes</v>
      </c>
      <c r="K319" s="5" t="str">
        <f>IFERROR(__xludf.DUMMYFUNCTION("IF(X319&lt;&gt;"""", GOOGLETRANSLATE(X319, ""RO"", ""EN""), """")"),"in an improvised home")</f>
        <v>in an improvised home</v>
      </c>
      <c r="L319" s="5" t="str">
        <f>IFERROR(__xludf.DUMMYFUNCTION("IF(S319&lt;&gt;"""", GOOGLETRANSLATE(S319, ""RO"", ""EN""), """")"),"")</f>
        <v/>
      </c>
      <c r="M319" s="5" t="str">
        <f>IFERROR(__xludf.DUMMYFUNCTION("IF(T319&lt;&gt;"""", GOOGLETRANSLATE(T319, ""RO"", ""EN""), """")"),"")</f>
        <v/>
      </c>
      <c r="N319" s="5" t="str">
        <f>IFERROR(__xludf.DUMMYFUNCTION("IF(Y319&lt;&gt;"""", GOOGLETRANSLATE(Y319, ""RO"", ""EN""), """")"),"")</f>
        <v/>
      </c>
      <c r="P319" s="4" t="s">
        <v>1010</v>
      </c>
      <c r="Q319" s="4" t="s">
        <v>1011</v>
      </c>
      <c r="R319" s="4" t="s">
        <v>1012</v>
      </c>
      <c r="U319" s="4" t="s">
        <v>1013</v>
      </c>
      <c r="V319" s="4" t="s">
        <v>1014</v>
      </c>
      <c r="W319" s="4" t="s">
        <v>1015</v>
      </c>
      <c r="X319" s="4" t="s">
        <v>1016</v>
      </c>
    </row>
    <row r="320" ht="15.75" customHeight="1">
      <c r="A320" s="4" t="s">
        <v>1017</v>
      </c>
      <c r="B320" s="4" t="s">
        <v>1018</v>
      </c>
      <c r="C320" s="4" t="str">
        <f>IFERROR(__xludf.DUMMYFUNCTION("GOOGLETRANSLATE(B320, ""RO"", ""EN"")"),"The home is located ...")</f>
        <v>The home is located ...</v>
      </c>
      <c r="D320" s="5" t="str">
        <f>IFERROR(__xludf.DUMMYFUNCTION("IF(O320&lt;&gt;"""", GOOGLETRANSLATE(O320, ""RO"", ""EN""), """")"),"")</f>
        <v/>
      </c>
      <c r="E320" s="6" t="str">
        <f>IFERROR(__xludf.DUMMYFUNCTION("IF(P320&lt;&gt;"""", GOOGLETRANSLATE(P320, ""RO"", ""EN""), """")"),"In a central area of ​​the village/city")</f>
        <v>In a central area of ​​the village/city</v>
      </c>
      <c r="F320" s="5" t="str">
        <f>IFERROR(__xludf.DUMMYFUNCTION("IF(Q320&lt;&gt;"""", GOOGLETRANSLATE(Q320, ""RO"", ""EN""), """")"),"In an area at the edge of the village/city")</f>
        <v>In an area at the edge of the village/city</v>
      </c>
      <c r="G320" s="5" t="str">
        <f>IFERROR(__xludf.DUMMYFUNCTION("IF(R320&lt;&gt;"""", GOOGLETRANSLATE(R320, ""RO"", ""EN""), """")"),"In the other area of ​​village/city")</f>
        <v>In the other area of ​​village/city</v>
      </c>
      <c r="H320" s="5" t="str">
        <f>IFERROR(__xludf.DUMMYFUNCTION("IF(U320&lt;&gt;"""", GOOGLETRANSLATE(U320, ""RO"", ""EN""), """")"),"")</f>
        <v/>
      </c>
      <c r="I320" s="5" t="str">
        <f>IFERROR(__xludf.DUMMYFUNCTION("IF(V320&lt;&gt;"""", GOOGLETRANSLATE(V320, ""RO"", ""EN""), """")"),"")</f>
        <v/>
      </c>
      <c r="J320" s="5" t="str">
        <f>IFERROR(__xludf.DUMMYFUNCTION("IF(W320&lt;&gt;"""", GOOGLETRANSLATE(W320, ""RO"", ""EN""), """")"),"")</f>
        <v/>
      </c>
      <c r="K320" s="5" t="str">
        <f>IFERROR(__xludf.DUMMYFUNCTION("IF(X320&lt;&gt;"""", GOOGLETRANSLATE(X320, ""RO"", ""EN""), """")"),"")</f>
        <v/>
      </c>
      <c r="L320" s="5" t="str">
        <f>IFERROR(__xludf.DUMMYFUNCTION("IF(S320&lt;&gt;"""", GOOGLETRANSLATE(S320, ""RO"", ""EN""), """")"),"")</f>
        <v/>
      </c>
      <c r="M320" s="5" t="str">
        <f>IFERROR(__xludf.DUMMYFUNCTION("IF(T320&lt;&gt;"""", GOOGLETRANSLATE(T320, ""RO"", ""EN""), """")"),"")</f>
        <v/>
      </c>
      <c r="N320" s="5" t="str">
        <f>IFERROR(__xludf.DUMMYFUNCTION("IF(Y320&lt;&gt;"""", GOOGLETRANSLATE(Y320, ""RO"", ""EN""), """")"),"")</f>
        <v/>
      </c>
      <c r="P320" s="4" t="s">
        <v>1019</v>
      </c>
      <c r="Q320" s="4" t="s">
        <v>1020</v>
      </c>
      <c r="R320" s="4" t="s">
        <v>1021</v>
      </c>
    </row>
    <row r="321" ht="15.75" customHeight="1">
      <c r="A321" s="4" t="s">
        <v>1022</v>
      </c>
      <c r="B321" s="4" t="s">
        <v>1023</v>
      </c>
      <c r="C321" s="4" t="str">
        <f>IFERROR(__xludf.DUMMYFUNCTION("GOOGLETRANSLATE(B321, ""RO"", ""EN"")"),"Distance to the nearest city")</f>
        <v>Distance to the nearest city</v>
      </c>
      <c r="D321" s="5" t="str">
        <f>IFERROR(__xludf.DUMMYFUNCTION("IF(O321&lt;&gt;"""", GOOGLETRANSLATE(O321, ""RO"", ""EN""), """")"),"")</f>
        <v/>
      </c>
      <c r="E321" s="6" t="str">
        <f>IFERROR(__xludf.DUMMYFUNCTION("IF(P321&lt;&gt;"""", GOOGLETRANSLATE(P321, ""RO"", ""EN""), """")"),"")</f>
        <v/>
      </c>
      <c r="F321" s="5" t="str">
        <f>IFERROR(__xludf.DUMMYFUNCTION("IF(Q321&lt;&gt;"""", GOOGLETRANSLATE(Q321, ""RO"", ""EN""), """")"),"")</f>
        <v/>
      </c>
      <c r="G321" s="5" t="str">
        <f>IFERROR(__xludf.DUMMYFUNCTION("IF(R321&lt;&gt;"""", GOOGLETRANSLATE(R321, ""RO"", ""EN""), """")"),"")</f>
        <v/>
      </c>
      <c r="H321" s="5" t="str">
        <f>IFERROR(__xludf.DUMMYFUNCTION("IF(U321&lt;&gt;"""", GOOGLETRANSLATE(U321, ""RO"", ""EN""), """")"),"")</f>
        <v/>
      </c>
      <c r="I321" s="5" t="str">
        <f>IFERROR(__xludf.DUMMYFUNCTION("IF(V321&lt;&gt;"""", GOOGLETRANSLATE(V321, ""RO"", ""EN""), """")"),"")</f>
        <v/>
      </c>
      <c r="J321" s="5" t="str">
        <f>IFERROR(__xludf.DUMMYFUNCTION("IF(W321&lt;&gt;"""", GOOGLETRANSLATE(W321, ""RO"", ""EN""), """")"),"")</f>
        <v/>
      </c>
      <c r="K321" s="5" t="str">
        <f>IFERROR(__xludf.DUMMYFUNCTION("IF(X321&lt;&gt;"""", GOOGLETRANSLATE(X321, ""RO"", ""EN""), """")"),"")</f>
        <v/>
      </c>
      <c r="L321" s="5" t="str">
        <f>IFERROR(__xludf.DUMMYFUNCTION("IF(S321&lt;&gt;"""", GOOGLETRANSLATE(S321, ""RO"", ""EN""), """")"),"")</f>
        <v/>
      </c>
      <c r="M321" s="5" t="str">
        <f>IFERROR(__xludf.DUMMYFUNCTION("IF(T321&lt;&gt;"""", GOOGLETRANSLATE(T321, ""RO"", ""EN""), """")"),"")</f>
        <v/>
      </c>
      <c r="N321" s="5" t="str">
        <f>IFERROR(__xludf.DUMMYFUNCTION("IF(Y321&lt;&gt;"""", GOOGLETRANSLATE(Y321, ""RO"", ""EN""), """")"),"")</f>
        <v/>
      </c>
    </row>
    <row r="322" ht="15.75" customHeight="1">
      <c r="A322" s="4" t="s">
        <v>1024</v>
      </c>
      <c r="B322" s="4" t="s">
        <v>1025</v>
      </c>
      <c r="C322" s="4" t="str">
        <f>IFERROR(__xludf.DUMMYFUNCTION("GOOGLETRANSLATE(B322, ""RO"", ""EN"")"),"The road in front of the house is")</f>
        <v>The road in front of the house is</v>
      </c>
      <c r="D322" s="5" t="str">
        <f>IFERROR(__xludf.DUMMYFUNCTION("IF(O322&lt;&gt;"""", GOOGLETRANSLATE(O322, ""RO"", ""EN""), """")"),"")</f>
        <v/>
      </c>
      <c r="E322" s="6" t="str">
        <f>IFERROR(__xludf.DUMMYFUNCTION("IF(P322&lt;&gt;"""", GOOGLETRANSLATE(P322, ""RO"", ""EN""), """")"),"asphalted")</f>
        <v>asphalted</v>
      </c>
      <c r="F322" s="5" t="str">
        <f>IFERROR(__xludf.DUMMYFUNCTION("IF(Q322&lt;&gt;"""", GOOGLETRANSLATE(Q322, ""RO"", ""EN""), """")"),"paved")</f>
        <v>paved</v>
      </c>
      <c r="G322" s="5" t="str">
        <f>IFERROR(__xludf.DUMMYFUNCTION("IF(R322&lt;&gt;"""", GOOGLETRANSLATE(R322, ""RO"", ""EN""), """")"),"of soil")</f>
        <v>of soil</v>
      </c>
      <c r="H322" s="5" t="str">
        <f>IFERROR(__xludf.DUMMYFUNCTION("IF(U322&lt;&gt;"""", GOOGLETRANSLATE(U322, ""RO"", ""EN""), """")"),"")</f>
        <v/>
      </c>
      <c r="I322" s="5" t="str">
        <f>IFERROR(__xludf.DUMMYFUNCTION("IF(V322&lt;&gt;"""", GOOGLETRANSLATE(V322, ""RO"", ""EN""), """")"),"")</f>
        <v/>
      </c>
      <c r="J322" s="5" t="str">
        <f>IFERROR(__xludf.DUMMYFUNCTION("IF(W322&lt;&gt;"""", GOOGLETRANSLATE(W322, ""RO"", ""EN""), """")"),"")</f>
        <v/>
      </c>
      <c r="K322" s="5" t="str">
        <f>IFERROR(__xludf.DUMMYFUNCTION("IF(X322&lt;&gt;"""", GOOGLETRANSLATE(X322, ""RO"", ""EN""), """")"),"")</f>
        <v/>
      </c>
      <c r="L322" s="5" t="str">
        <f>IFERROR(__xludf.DUMMYFUNCTION("IF(S322&lt;&gt;"""", GOOGLETRANSLATE(S322, ""RO"", ""EN""), """")"),"")</f>
        <v/>
      </c>
      <c r="M322" s="5" t="str">
        <f>IFERROR(__xludf.DUMMYFUNCTION("IF(T322&lt;&gt;"""", GOOGLETRANSLATE(T322, ""RO"", ""EN""), """")"),"")</f>
        <v/>
      </c>
      <c r="N322" s="5" t="str">
        <f>IFERROR(__xludf.DUMMYFUNCTION("IF(Y322&lt;&gt;"""", GOOGLETRANSLATE(Y322, ""RO"", ""EN""), """")"),"")</f>
        <v/>
      </c>
      <c r="P322" s="4" t="s">
        <v>1026</v>
      </c>
      <c r="Q322" s="4" t="s">
        <v>1027</v>
      </c>
      <c r="R322" s="4" t="s">
        <v>1028</v>
      </c>
    </row>
    <row r="323" ht="15.75" customHeight="1">
      <c r="A323" s="4" t="s">
        <v>1029</v>
      </c>
      <c r="B323" s="4" t="s">
        <v>1030</v>
      </c>
      <c r="C323" s="4" t="str">
        <f>IFERROR(__xludf.DUMMYFUNCTION("GOOGLETRANSLATE(B323, ""RO"", ""EN"")"),"During the application of the questionnaire (part of it) was there (a)/did another person assisted at the interview? wife / husband (or similar)")</f>
        <v>During the application of the questionnaire (part of it) was there (a)/did another person assisted at the interview? wife / husband (or similar)</v>
      </c>
      <c r="D323" s="5" t="str">
        <f>IFERROR(__xludf.DUMMYFUNCTION("IF(O323&lt;&gt;"""", GOOGLETRANSLATE(O323, ""RO"", ""EN""), """")"),"")</f>
        <v/>
      </c>
      <c r="E323" s="6" t="str">
        <f>IFERROR(__xludf.DUMMYFUNCTION("IF(P323&lt;&gt;"""", GOOGLETRANSLATE(P323, ""RO"", ""EN""), """")"),"Yes")</f>
        <v>Yes</v>
      </c>
      <c r="F323" s="5" t="str">
        <f>IFERROR(__xludf.DUMMYFUNCTION("IF(Q323&lt;&gt;"""", GOOGLETRANSLATE(Q323, ""RO"", ""EN""), """")"),"Not")</f>
        <v>Not</v>
      </c>
      <c r="G323" s="5" t="str">
        <f>IFERROR(__xludf.DUMMYFUNCTION("IF(R323&lt;&gt;"""", GOOGLETRANSLATE(R323, ""RO"", ""EN""), """")"),"")</f>
        <v/>
      </c>
      <c r="H323" s="5" t="str">
        <f>IFERROR(__xludf.DUMMYFUNCTION("IF(U323&lt;&gt;"""", GOOGLETRANSLATE(U323, ""RO"", ""EN""), """")"),"")</f>
        <v/>
      </c>
      <c r="I323" s="5" t="str">
        <f>IFERROR(__xludf.DUMMYFUNCTION("IF(V323&lt;&gt;"""", GOOGLETRANSLATE(V323, ""RO"", ""EN""), """")"),"")</f>
        <v/>
      </c>
      <c r="J323" s="5" t="str">
        <f>IFERROR(__xludf.DUMMYFUNCTION("IF(W323&lt;&gt;"""", GOOGLETRANSLATE(W323, ""RO"", ""EN""), """")"),"")</f>
        <v/>
      </c>
      <c r="K323" s="5" t="str">
        <f>IFERROR(__xludf.DUMMYFUNCTION("IF(X323&lt;&gt;"""", GOOGLETRANSLATE(X323, ""RO"", ""EN""), """")"),"")</f>
        <v/>
      </c>
      <c r="L323" s="5" t="str">
        <f>IFERROR(__xludf.DUMMYFUNCTION("IF(S323&lt;&gt;"""", GOOGLETRANSLATE(S323, ""RO"", ""EN""), """")"),"")</f>
        <v/>
      </c>
      <c r="M323" s="5" t="str">
        <f>IFERROR(__xludf.DUMMYFUNCTION("IF(T323&lt;&gt;"""", GOOGLETRANSLATE(T323, ""RO"", ""EN""), """")"),"")</f>
        <v/>
      </c>
      <c r="N323" s="5" t="str">
        <f>IFERROR(__xludf.DUMMYFUNCTION("IF(Y323&lt;&gt;"""", GOOGLETRANSLATE(Y323, ""RO"", ""EN""), """")"),"")</f>
        <v/>
      </c>
      <c r="P323" s="4" t="s">
        <v>639</v>
      </c>
      <c r="Q323" s="4" t="s">
        <v>640</v>
      </c>
    </row>
    <row r="324" ht="15.75" customHeight="1">
      <c r="A324" s="4" t="s">
        <v>1031</v>
      </c>
      <c r="B324" s="4" t="s">
        <v>1032</v>
      </c>
      <c r="C324" s="4" t="str">
        <f>IFERROR(__xludf.DUMMYFUNCTION("GOOGLETRANSLATE(B324, ""RO"", ""EN"")"),"mother father")</f>
        <v>mother father</v>
      </c>
      <c r="D324" s="5" t="str">
        <f>IFERROR(__xludf.DUMMYFUNCTION("IF(O324&lt;&gt;"""", GOOGLETRANSLATE(O324, ""RO"", ""EN""), """")"),"")</f>
        <v/>
      </c>
      <c r="E324" s="6" t="str">
        <f>IFERROR(__xludf.DUMMYFUNCTION("IF(P324&lt;&gt;"""", GOOGLETRANSLATE(P324, ""RO"", ""EN""), """")"),"Yes")</f>
        <v>Yes</v>
      </c>
      <c r="F324" s="5" t="str">
        <f>IFERROR(__xludf.DUMMYFUNCTION("IF(Q324&lt;&gt;"""", GOOGLETRANSLATE(Q324, ""RO"", ""EN""), """")"),"Not")</f>
        <v>Not</v>
      </c>
      <c r="G324" s="5" t="str">
        <f>IFERROR(__xludf.DUMMYFUNCTION("IF(R324&lt;&gt;"""", GOOGLETRANSLATE(R324, ""RO"", ""EN""), """")"),"")</f>
        <v/>
      </c>
      <c r="H324" s="5" t="str">
        <f>IFERROR(__xludf.DUMMYFUNCTION("IF(U324&lt;&gt;"""", GOOGLETRANSLATE(U324, ""RO"", ""EN""), """")"),"")</f>
        <v/>
      </c>
      <c r="I324" s="5" t="str">
        <f>IFERROR(__xludf.DUMMYFUNCTION("IF(V324&lt;&gt;"""", GOOGLETRANSLATE(V324, ""RO"", ""EN""), """")"),"")</f>
        <v/>
      </c>
      <c r="J324" s="5" t="str">
        <f>IFERROR(__xludf.DUMMYFUNCTION("IF(W324&lt;&gt;"""", GOOGLETRANSLATE(W324, ""RO"", ""EN""), """")"),"")</f>
        <v/>
      </c>
      <c r="K324" s="5" t="str">
        <f>IFERROR(__xludf.DUMMYFUNCTION("IF(X324&lt;&gt;"""", GOOGLETRANSLATE(X324, ""RO"", ""EN""), """")"),"")</f>
        <v/>
      </c>
      <c r="L324" s="5" t="str">
        <f>IFERROR(__xludf.DUMMYFUNCTION("IF(S324&lt;&gt;"""", GOOGLETRANSLATE(S324, ""RO"", ""EN""), """")"),"")</f>
        <v/>
      </c>
      <c r="M324" s="5" t="str">
        <f>IFERROR(__xludf.DUMMYFUNCTION("IF(T324&lt;&gt;"""", GOOGLETRANSLATE(T324, ""RO"", ""EN""), """")"),"")</f>
        <v/>
      </c>
      <c r="N324" s="5" t="str">
        <f>IFERROR(__xludf.DUMMYFUNCTION("IF(Y324&lt;&gt;"""", GOOGLETRANSLATE(Y324, ""RO"", ""EN""), """")"),"")</f>
        <v/>
      </c>
      <c r="P324" s="4" t="s">
        <v>639</v>
      </c>
      <c r="Q324" s="4" t="s">
        <v>640</v>
      </c>
    </row>
    <row r="325" ht="15.75" customHeight="1">
      <c r="A325" s="4" t="s">
        <v>1033</v>
      </c>
      <c r="B325" s="4" t="s">
        <v>1034</v>
      </c>
      <c r="C325" s="4" t="str">
        <f>IFERROR(__xludf.DUMMYFUNCTION("GOOGLETRANSLATE(B325, ""RO"", ""EN"")"),"child of no more than 10 years")</f>
        <v>child of no more than 10 years</v>
      </c>
      <c r="D325" s="5" t="str">
        <f>IFERROR(__xludf.DUMMYFUNCTION("IF(O325&lt;&gt;"""", GOOGLETRANSLATE(O325, ""RO"", ""EN""), """")"),"")</f>
        <v/>
      </c>
      <c r="E325" s="6" t="str">
        <f>IFERROR(__xludf.DUMMYFUNCTION("IF(P325&lt;&gt;"""", GOOGLETRANSLATE(P325, ""RO"", ""EN""), """")"),"Yes")</f>
        <v>Yes</v>
      </c>
      <c r="F325" s="5" t="str">
        <f>IFERROR(__xludf.DUMMYFUNCTION("IF(Q325&lt;&gt;"""", GOOGLETRANSLATE(Q325, ""RO"", ""EN""), """")"),"Not")</f>
        <v>Not</v>
      </c>
      <c r="G325" s="5" t="str">
        <f>IFERROR(__xludf.DUMMYFUNCTION("IF(R325&lt;&gt;"""", GOOGLETRANSLATE(R325, ""RO"", ""EN""), """")"),"")</f>
        <v/>
      </c>
      <c r="H325" s="5" t="str">
        <f>IFERROR(__xludf.DUMMYFUNCTION("IF(U325&lt;&gt;"""", GOOGLETRANSLATE(U325, ""RO"", ""EN""), """")"),"")</f>
        <v/>
      </c>
      <c r="I325" s="5" t="str">
        <f>IFERROR(__xludf.DUMMYFUNCTION("IF(V325&lt;&gt;"""", GOOGLETRANSLATE(V325, ""RO"", ""EN""), """")"),"")</f>
        <v/>
      </c>
      <c r="J325" s="5" t="str">
        <f>IFERROR(__xludf.DUMMYFUNCTION("IF(W325&lt;&gt;"""", GOOGLETRANSLATE(W325, ""RO"", ""EN""), """")"),"")</f>
        <v/>
      </c>
      <c r="K325" s="5" t="str">
        <f>IFERROR(__xludf.DUMMYFUNCTION("IF(X325&lt;&gt;"""", GOOGLETRANSLATE(X325, ""RO"", ""EN""), """")"),"")</f>
        <v/>
      </c>
      <c r="L325" s="5" t="str">
        <f>IFERROR(__xludf.DUMMYFUNCTION("IF(S325&lt;&gt;"""", GOOGLETRANSLATE(S325, ""RO"", ""EN""), """")"),"")</f>
        <v/>
      </c>
      <c r="M325" s="5" t="str">
        <f>IFERROR(__xludf.DUMMYFUNCTION("IF(T325&lt;&gt;"""", GOOGLETRANSLATE(T325, ""RO"", ""EN""), """")"),"")</f>
        <v/>
      </c>
      <c r="N325" s="5" t="str">
        <f>IFERROR(__xludf.DUMMYFUNCTION("IF(Y325&lt;&gt;"""", GOOGLETRANSLATE(Y325, ""RO"", ""EN""), """")"),"")</f>
        <v/>
      </c>
      <c r="P325" s="4" t="s">
        <v>639</v>
      </c>
      <c r="Q325" s="4" t="s">
        <v>640</v>
      </c>
    </row>
    <row r="326" ht="15.75" customHeight="1">
      <c r="A326" s="4" t="s">
        <v>1035</v>
      </c>
      <c r="B326" s="4" t="s">
        <v>1036</v>
      </c>
      <c r="C326" s="4" t="str">
        <f>IFERROR(__xludf.DUMMYFUNCTION("GOOGLETRANSLATE(B326, ""RO"", ""EN"")"),"child over 10 years")</f>
        <v>child over 10 years</v>
      </c>
      <c r="D326" s="5" t="str">
        <f>IFERROR(__xludf.DUMMYFUNCTION("IF(O326&lt;&gt;"""", GOOGLETRANSLATE(O326, ""RO"", ""EN""), """")"),"")</f>
        <v/>
      </c>
      <c r="E326" s="6" t="str">
        <f>IFERROR(__xludf.DUMMYFUNCTION("IF(P326&lt;&gt;"""", GOOGLETRANSLATE(P326, ""RO"", ""EN""), """")"),"Yes")</f>
        <v>Yes</v>
      </c>
      <c r="F326" s="5" t="str">
        <f>IFERROR(__xludf.DUMMYFUNCTION("IF(Q326&lt;&gt;"""", GOOGLETRANSLATE(Q326, ""RO"", ""EN""), """")"),"Not")</f>
        <v>Not</v>
      </c>
      <c r="G326" s="5" t="str">
        <f>IFERROR(__xludf.DUMMYFUNCTION("IF(R326&lt;&gt;"""", GOOGLETRANSLATE(R326, ""RO"", ""EN""), """")"),"")</f>
        <v/>
      </c>
      <c r="H326" s="5" t="str">
        <f>IFERROR(__xludf.DUMMYFUNCTION("IF(U326&lt;&gt;"""", GOOGLETRANSLATE(U326, ""RO"", ""EN""), """")"),"")</f>
        <v/>
      </c>
      <c r="I326" s="5" t="str">
        <f>IFERROR(__xludf.DUMMYFUNCTION("IF(V326&lt;&gt;"""", GOOGLETRANSLATE(V326, ""RO"", ""EN""), """")"),"")</f>
        <v/>
      </c>
      <c r="J326" s="5" t="str">
        <f>IFERROR(__xludf.DUMMYFUNCTION("IF(W326&lt;&gt;"""", GOOGLETRANSLATE(W326, ""RO"", ""EN""), """")"),"")</f>
        <v/>
      </c>
      <c r="K326" s="5" t="str">
        <f>IFERROR(__xludf.DUMMYFUNCTION("IF(X326&lt;&gt;"""", GOOGLETRANSLATE(X326, ""RO"", ""EN""), """")"),"")</f>
        <v/>
      </c>
      <c r="L326" s="5" t="str">
        <f>IFERROR(__xludf.DUMMYFUNCTION("IF(S326&lt;&gt;"""", GOOGLETRANSLATE(S326, ""RO"", ""EN""), """")"),"")</f>
        <v/>
      </c>
      <c r="M326" s="5" t="str">
        <f>IFERROR(__xludf.DUMMYFUNCTION("IF(T326&lt;&gt;"""", GOOGLETRANSLATE(T326, ""RO"", ""EN""), """")"),"")</f>
        <v/>
      </c>
      <c r="N326" s="5" t="str">
        <f>IFERROR(__xludf.DUMMYFUNCTION("IF(Y326&lt;&gt;"""", GOOGLETRANSLATE(Y326, ""RO"", ""EN""), """")"),"")</f>
        <v/>
      </c>
      <c r="P326" s="4" t="s">
        <v>639</v>
      </c>
      <c r="Q326" s="4" t="s">
        <v>640</v>
      </c>
    </row>
    <row r="327" ht="15.75" customHeight="1">
      <c r="A327" s="4" t="s">
        <v>1037</v>
      </c>
      <c r="B327" s="4" t="s">
        <v>1038</v>
      </c>
      <c r="C327" s="4" t="str">
        <f>IFERROR(__xludf.DUMMYFUNCTION("GOOGLETRANSLATE(B327, ""RO"", ""EN"")"),"somebody else")</f>
        <v>somebody else</v>
      </c>
      <c r="D327" s="5" t="str">
        <f>IFERROR(__xludf.DUMMYFUNCTION("IF(O327&lt;&gt;"""", GOOGLETRANSLATE(O327, ""RO"", ""EN""), """")"),"")</f>
        <v/>
      </c>
      <c r="E327" s="6" t="str">
        <f>IFERROR(__xludf.DUMMYFUNCTION("IF(P327&lt;&gt;"""", GOOGLETRANSLATE(P327, ""RO"", ""EN""), """")"),"Yes")</f>
        <v>Yes</v>
      </c>
      <c r="F327" s="5" t="str">
        <f>IFERROR(__xludf.DUMMYFUNCTION("IF(Q327&lt;&gt;"""", GOOGLETRANSLATE(Q327, ""RO"", ""EN""), """")"),"Not")</f>
        <v>Not</v>
      </c>
      <c r="G327" s="5" t="str">
        <f>IFERROR(__xludf.DUMMYFUNCTION("IF(R327&lt;&gt;"""", GOOGLETRANSLATE(R327, ""RO"", ""EN""), """")"),"")</f>
        <v/>
      </c>
      <c r="H327" s="5" t="str">
        <f>IFERROR(__xludf.DUMMYFUNCTION("IF(U327&lt;&gt;"""", GOOGLETRANSLATE(U327, ""RO"", ""EN""), """")"),"")</f>
        <v/>
      </c>
      <c r="I327" s="5" t="str">
        <f>IFERROR(__xludf.DUMMYFUNCTION("IF(V327&lt;&gt;"""", GOOGLETRANSLATE(V327, ""RO"", ""EN""), """")"),"")</f>
        <v/>
      </c>
      <c r="J327" s="5" t="str">
        <f>IFERROR(__xludf.DUMMYFUNCTION("IF(W327&lt;&gt;"""", GOOGLETRANSLATE(W327, ""RO"", ""EN""), """")"),"")</f>
        <v/>
      </c>
      <c r="K327" s="5" t="str">
        <f>IFERROR(__xludf.DUMMYFUNCTION("IF(X327&lt;&gt;"""", GOOGLETRANSLATE(X327, ""RO"", ""EN""), """")"),"")</f>
        <v/>
      </c>
      <c r="L327" s="5" t="str">
        <f>IFERROR(__xludf.DUMMYFUNCTION("IF(S327&lt;&gt;"""", GOOGLETRANSLATE(S327, ""RO"", ""EN""), """")"),"")</f>
        <v/>
      </c>
      <c r="M327" s="5" t="str">
        <f>IFERROR(__xludf.DUMMYFUNCTION("IF(T327&lt;&gt;"""", GOOGLETRANSLATE(T327, ""RO"", ""EN""), """")"),"")</f>
        <v/>
      </c>
      <c r="N327" s="5" t="str">
        <f>IFERROR(__xludf.DUMMYFUNCTION("IF(Y327&lt;&gt;"""", GOOGLETRANSLATE(Y327, ""RO"", ""EN""), """")"),"")</f>
        <v/>
      </c>
      <c r="P327" s="4" t="s">
        <v>639</v>
      </c>
      <c r="Q327" s="4" t="s">
        <v>640</v>
      </c>
    </row>
    <row r="328" ht="15.75" customHeight="1">
      <c r="A328" s="4" t="s">
        <v>1039</v>
      </c>
      <c r="B328" s="4" t="s">
        <v>1040</v>
      </c>
      <c r="C328" s="4" t="str">
        <f>IFERROR(__xludf.DUMMYFUNCTION("GOOGLETRANSLATE(B328, ""RO"", ""EN"")"),"On a scale from 0 (minimum) to 10 (maximum), how do you appreciate ...? The respondent's interest in the topics discussed")</f>
        <v>On a scale from 0 (minimum) to 10 (maximum), how do you appreciate ...? The respondent's interest in the topics discussed</v>
      </c>
      <c r="D328" s="5" t="str">
        <f>IFERROR(__xludf.DUMMYFUNCTION("IF(O328&lt;&gt;"""", GOOGLETRANSLATE(O328, ""RO"", ""EN""), """")"),"Minimum")</f>
        <v>Minimum</v>
      </c>
      <c r="E328" s="6" t="str">
        <f>IFERROR(__xludf.DUMMYFUNCTION("IF(P328&lt;&gt;"""", GOOGLETRANSLATE(P328, ""RO"", ""EN""), """")"),"")</f>
        <v/>
      </c>
      <c r="F328" s="5" t="str">
        <f>IFERROR(__xludf.DUMMYFUNCTION("IF(Q328&lt;&gt;"""", GOOGLETRANSLATE(Q328, ""RO"", ""EN""), """")"),"")</f>
        <v/>
      </c>
      <c r="G328" s="5" t="str">
        <f>IFERROR(__xludf.DUMMYFUNCTION("IF(R328&lt;&gt;"""", GOOGLETRANSLATE(R328, ""RO"", ""EN""), """")"),"")</f>
        <v/>
      </c>
      <c r="H328" s="5" t="str">
        <f>IFERROR(__xludf.DUMMYFUNCTION("IF(U328&lt;&gt;"""", GOOGLETRANSLATE(U328, ""RO"", ""EN""), """")"),"")</f>
        <v/>
      </c>
      <c r="I328" s="5" t="str">
        <f>IFERROR(__xludf.DUMMYFUNCTION("IF(V328&lt;&gt;"""", GOOGLETRANSLATE(V328, ""RO"", ""EN""), """")"),"")</f>
        <v/>
      </c>
      <c r="J328" s="5" t="str">
        <f>IFERROR(__xludf.DUMMYFUNCTION("IF(W328&lt;&gt;"""", GOOGLETRANSLATE(W328, ""RO"", ""EN""), """")"),"")</f>
        <v/>
      </c>
      <c r="K328" s="5" t="str">
        <f>IFERROR(__xludf.DUMMYFUNCTION("IF(X328&lt;&gt;"""", GOOGLETRANSLATE(X328, ""RO"", ""EN""), """")"),"")</f>
        <v/>
      </c>
      <c r="L328" s="5" t="str">
        <f>IFERROR(__xludf.DUMMYFUNCTION("IF(S328&lt;&gt;"""", GOOGLETRANSLATE(S328, ""RO"", ""EN""), """")"),"")</f>
        <v/>
      </c>
      <c r="M328" s="5" t="str">
        <f>IFERROR(__xludf.DUMMYFUNCTION("IF(T328&lt;&gt;"""", GOOGLETRANSLATE(T328, ""RO"", ""EN""), """")"),"")</f>
        <v/>
      </c>
      <c r="N328" s="5" t="str">
        <f>IFERROR(__xludf.DUMMYFUNCTION("IF(Y328&lt;&gt;"""", GOOGLETRANSLATE(Y328, ""RO"", ""EN""), """")"),"Maximum")</f>
        <v>Maximum</v>
      </c>
      <c r="O328" s="4" t="s">
        <v>1041</v>
      </c>
      <c r="Y328" s="4" t="s">
        <v>1042</v>
      </c>
      <c r="AB328" s="4" t="s">
        <v>104</v>
      </c>
    </row>
    <row r="329" ht="15.75" customHeight="1">
      <c r="A329" s="4" t="s">
        <v>1043</v>
      </c>
      <c r="B329" s="4" t="s">
        <v>1044</v>
      </c>
      <c r="C329" s="4" t="str">
        <f>IFERROR(__xludf.DUMMYFUNCTION("GOOGLETRANSLATE(B329, ""RO"", ""EN"")"),"The respondent's ability to understand the questions")</f>
        <v>The respondent's ability to understand the questions</v>
      </c>
      <c r="D329" s="5" t="str">
        <f>IFERROR(__xludf.DUMMYFUNCTION("IF(O329&lt;&gt;"""", GOOGLETRANSLATE(O329, ""RO"", ""EN""), """")"),"Minimum")</f>
        <v>Minimum</v>
      </c>
      <c r="E329" s="6" t="str">
        <f>IFERROR(__xludf.DUMMYFUNCTION("IF(P329&lt;&gt;"""", GOOGLETRANSLATE(P329, ""RO"", ""EN""), """")"),"")</f>
        <v/>
      </c>
      <c r="F329" s="5" t="str">
        <f>IFERROR(__xludf.DUMMYFUNCTION("IF(Q329&lt;&gt;"""", GOOGLETRANSLATE(Q329, ""RO"", ""EN""), """")"),"")</f>
        <v/>
      </c>
      <c r="G329" s="5" t="str">
        <f>IFERROR(__xludf.DUMMYFUNCTION("IF(R329&lt;&gt;"""", GOOGLETRANSLATE(R329, ""RO"", ""EN""), """")"),"")</f>
        <v/>
      </c>
      <c r="H329" s="5" t="str">
        <f>IFERROR(__xludf.DUMMYFUNCTION("IF(U329&lt;&gt;"""", GOOGLETRANSLATE(U329, ""RO"", ""EN""), """")"),"")</f>
        <v/>
      </c>
      <c r="I329" s="5" t="str">
        <f>IFERROR(__xludf.DUMMYFUNCTION("IF(V329&lt;&gt;"""", GOOGLETRANSLATE(V329, ""RO"", ""EN""), """")"),"")</f>
        <v/>
      </c>
      <c r="J329" s="5" t="str">
        <f>IFERROR(__xludf.DUMMYFUNCTION("IF(W329&lt;&gt;"""", GOOGLETRANSLATE(W329, ""RO"", ""EN""), """")"),"")</f>
        <v/>
      </c>
      <c r="K329" s="5" t="str">
        <f>IFERROR(__xludf.DUMMYFUNCTION("IF(X329&lt;&gt;"""", GOOGLETRANSLATE(X329, ""RO"", ""EN""), """")"),"")</f>
        <v/>
      </c>
      <c r="L329" s="5" t="str">
        <f>IFERROR(__xludf.DUMMYFUNCTION("IF(S329&lt;&gt;"""", GOOGLETRANSLATE(S329, ""RO"", ""EN""), """")"),"")</f>
        <v/>
      </c>
      <c r="M329" s="5" t="str">
        <f>IFERROR(__xludf.DUMMYFUNCTION("IF(T329&lt;&gt;"""", GOOGLETRANSLATE(T329, ""RO"", ""EN""), """")"),"")</f>
        <v/>
      </c>
      <c r="N329" s="5" t="str">
        <f>IFERROR(__xludf.DUMMYFUNCTION("IF(Y329&lt;&gt;"""", GOOGLETRANSLATE(Y329, ""RO"", ""EN""), """")"),"Maximum")</f>
        <v>Maximum</v>
      </c>
      <c r="O329" s="4" t="s">
        <v>1041</v>
      </c>
      <c r="Y329" s="4" t="s">
        <v>1042</v>
      </c>
      <c r="AB329" s="4" t="s">
        <v>104</v>
      </c>
    </row>
    <row r="330" ht="15.75" customHeight="1">
      <c r="A330" s="4" t="s">
        <v>1045</v>
      </c>
      <c r="B330" s="4" t="s">
        <v>1046</v>
      </c>
      <c r="C330" s="4" t="str">
        <f>IFERROR(__xludf.DUMMYFUNCTION("GOOGLETRANSLATE(B330, ""RO"", ""EN"")"),"The respondent's ability to give an answer to questions")</f>
        <v>The respondent's ability to give an answer to questions</v>
      </c>
      <c r="D330" s="5" t="str">
        <f>IFERROR(__xludf.DUMMYFUNCTION("IF(O330&lt;&gt;"""", GOOGLETRANSLATE(O330, ""RO"", ""EN""), """")"),"Minimum")</f>
        <v>Minimum</v>
      </c>
      <c r="E330" s="6" t="str">
        <f>IFERROR(__xludf.DUMMYFUNCTION("IF(P330&lt;&gt;"""", GOOGLETRANSLATE(P330, ""RO"", ""EN""), """")"),"")</f>
        <v/>
      </c>
      <c r="F330" s="5" t="str">
        <f>IFERROR(__xludf.DUMMYFUNCTION("IF(Q330&lt;&gt;"""", GOOGLETRANSLATE(Q330, ""RO"", ""EN""), """")"),"")</f>
        <v/>
      </c>
      <c r="G330" s="5" t="str">
        <f>IFERROR(__xludf.DUMMYFUNCTION("IF(R330&lt;&gt;"""", GOOGLETRANSLATE(R330, ""RO"", ""EN""), """")"),"")</f>
        <v/>
      </c>
      <c r="H330" s="5" t="str">
        <f>IFERROR(__xludf.DUMMYFUNCTION("IF(U330&lt;&gt;"""", GOOGLETRANSLATE(U330, ""RO"", ""EN""), """")"),"")</f>
        <v/>
      </c>
      <c r="I330" s="5" t="str">
        <f>IFERROR(__xludf.DUMMYFUNCTION("IF(V330&lt;&gt;"""", GOOGLETRANSLATE(V330, ""RO"", ""EN""), """")"),"")</f>
        <v/>
      </c>
      <c r="J330" s="5" t="str">
        <f>IFERROR(__xludf.DUMMYFUNCTION("IF(W330&lt;&gt;"""", GOOGLETRANSLATE(W330, ""RO"", ""EN""), """")"),"")</f>
        <v/>
      </c>
      <c r="K330" s="5" t="str">
        <f>IFERROR(__xludf.DUMMYFUNCTION("IF(X330&lt;&gt;"""", GOOGLETRANSLATE(X330, ""RO"", ""EN""), """")"),"")</f>
        <v/>
      </c>
      <c r="L330" s="5" t="str">
        <f>IFERROR(__xludf.DUMMYFUNCTION("IF(S330&lt;&gt;"""", GOOGLETRANSLATE(S330, ""RO"", ""EN""), """")"),"")</f>
        <v/>
      </c>
      <c r="M330" s="5" t="str">
        <f>IFERROR(__xludf.DUMMYFUNCTION("IF(T330&lt;&gt;"""", GOOGLETRANSLATE(T330, ""RO"", ""EN""), """")"),"")</f>
        <v/>
      </c>
      <c r="N330" s="5" t="str">
        <f>IFERROR(__xludf.DUMMYFUNCTION("IF(Y330&lt;&gt;"""", GOOGLETRANSLATE(Y330, ""RO"", ""EN""), """")"),"Maximum")</f>
        <v>Maximum</v>
      </c>
      <c r="O330" s="4" t="s">
        <v>1041</v>
      </c>
      <c r="Y330" s="4" t="s">
        <v>1042</v>
      </c>
      <c r="AB330" s="4" t="s">
        <v>104</v>
      </c>
    </row>
    <row r="331" ht="15.75" customHeight="1">
      <c r="A331" s="4" t="s">
        <v>1047</v>
      </c>
      <c r="B331" s="4" t="s">
        <v>1048</v>
      </c>
      <c r="C331" s="4" t="str">
        <f>IFERROR(__xludf.DUMMYFUNCTION("GOOGLETRANSLATE(B331, ""RO"", ""EN"")"),"The respondent's level of information on politics and choices")</f>
        <v>The respondent's level of information on politics and choices</v>
      </c>
      <c r="D331" s="5" t="str">
        <f>IFERROR(__xludf.DUMMYFUNCTION("IF(O331&lt;&gt;"""", GOOGLETRANSLATE(O331, ""RO"", ""EN""), """")"),"Minimum")</f>
        <v>Minimum</v>
      </c>
      <c r="E331" s="6" t="str">
        <f>IFERROR(__xludf.DUMMYFUNCTION("IF(P331&lt;&gt;"""", GOOGLETRANSLATE(P331, ""RO"", ""EN""), """")"),"")</f>
        <v/>
      </c>
      <c r="F331" s="5" t="str">
        <f>IFERROR(__xludf.DUMMYFUNCTION("IF(Q331&lt;&gt;"""", GOOGLETRANSLATE(Q331, ""RO"", ""EN""), """")"),"")</f>
        <v/>
      </c>
      <c r="G331" s="5" t="str">
        <f>IFERROR(__xludf.DUMMYFUNCTION("IF(R331&lt;&gt;"""", GOOGLETRANSLATE(R331, ""RO"", ""EN""), """")"),"")</f>
        <v/>
      </c>
      <c r="H331" s="5" t="str">
        <f>IFERROR(__xludf.DUMMYFUNCTION("IF(U331&lt;&gt;"""", GOOGLETRANSLATE(U331, ""RO"", ""EN""), """")"),"")</f>
        <v/>
      </c>
      <c r="I331" s="5" t="str">
        <f>IFERROR(__xludf.DUMMYFUNCTION("IF(V331&lt;&gt;"""", GOOGLETRANSLATE(V331, ""RO"", ""EN""), """")"),"")</f>
        <v/>
      </c>
      <c r="J331" s="5" t="str">
        <f>IFERROR(__xludf.DUMMYFUNCTION("IF(W331&lt;&gt;"""", GOOGLETRANSLATE(W331, ""RO"", ""EN""), """")"),"")</f>
        <v/>
      </c>
      <c r="K331" s="5" t="str">
        <f>IFERROR(__xludf.DUMMYFUNCTION("IF(X331&lt;&gt;"""", GOOGLETRANSLATE(X331, ""RO"", ""EN""), """")"),"")</f>
        <v/>
      </c>
      <c r="L331" s="5" t="str">
        <f>IFERROR(__xludf.DUMMYFUNCTION("IF(S331&lt;&gt;"""", GOOGLETRANSLATE(S331, ""RO"", ""EN""), """")"),"")</f>
        <v/>
      </c>
      <c r="M331" s="5" t="str">
        <f>IFERROR(__xludf.DUMMYFUNCTION("IF(T331&lt;&gt;"""", GOOGLETRANSLATE(T331, ""RO"", ""EN""), """")"),"")</f>
        <v/>
      </c>
      <c r="N331" s="5" t="str">
        <f>IFERROR(__xludf.DUMMYFUNCTION("IF(Y331&lt;&gt;"""", GOOGLETRANSLATE(Y331, ""RO"", ""EN""), """")"),"Maximum")</f>
        <v>Maximum</v>
      </c>
      <c r="O331" s="4" t="s">
        <v>1041</v>
      </c>
      <c r="Y331" s="4" t="s">
        <v>1042</v>
      </c>
      <c r="AB331" s="4" t="s">
        <v>104</v>
      </c>
    </row>
    <row r="332" ht="15.75" customHeight="1">
      <c r="A332" s="4" t="s">
        <v>1049</v>
      </c>
      <c r="B332" s="4" t="s">
        <v>1050</v>
      </c>
      <c r="C332" s="4" t="str">
        <f>IFERROR(__xludf.DUMMYFUNCTION("GOOGLETRANSLATE(B332, ""RO"", ""EN"")"),"Day")</f>
        <v>Day</v>
      </c>
      <c r="D332" s="5" t="str">
        <f>IFERROR(__xludf.DUMMYFUNCTION("IF(O332&lt;&gt;"""", GOOGLETRANSLATE(O332, ""RO"", ""EN""), """")"),"")</f>
        <v/>
      </c>
      <c r="E332" s="6" t="str">
        <f>IFERROR(__xludf.DUMMYFUNCTION("IF(P332&lt;&gt;"""", GOOGLETRANSLATE(P332, ""RO"", ""EN""), """")"),"")</f>
        <v/>
      </c>
      <c r="F332" s="5" t="str">
        <f>IFERROR(__xludf.DUMMYFUNCTION("IF(Q332&lt;&gt;"""", GOOGLETRANSLATE(Q332, ""RO"", ""EN""), """")"),"")</f>
        <v/>
      </c>
      <c r="G332" s="5" t="str">
        <f>IFERROR(__xludf.DUMMYFUNCTION("IF(R332&lt;&gt;"""", GOOGLETRANSLATE(R332, ""RO"", ""EN""), """")"),"")</f>
        <v/>
      </c>
      <c r="H332" s="5" t="str">
        <f>IFERROR(__xludf.DUMMYFUNCTION("IF(U332&lt;&gt;"""", GOOGLETRANSLATE(U332, ""RO"", ""EN""), """")"),"")</f>
        <v/>
      </c>
      <c r="I332" s="5" t="str">
        <f>IFERROR(__xludf.DUMMYFUNCTION("IF(V332&lt;&gt;"""", GOOGLETRANSLATE(V332, ""RO"", ""EN""), """")"),"")</f>
        <v/>
      </c>
      <c r="J332" s="5" t="str">
        <f>IFERROR(__xludf.DUMMYFUNCTION("IF(W332&lt;&gt;"""", GOOGLETRANSLATE(W332, ""RO"", ""EN""), """")"),"")</f>
        <v/>
      </c>
      <c r="K332" s="5" t="str">
        <f>IFERROR(__xludf.DUMMYFUNCTION("IF(X332&lt;&gt;"""", GOOGLETRANSLATE(X332, ""RO"", ""EN""), """")"),"")</f>
        <v/>
      </c>
      <c r="L332" s="5" t="str">
        <f>IFERROR(__xludf.DUMMYFUNCTION("IF(S332&lt;&gt;"""", GOOGLETRANSLATE(S332, ""RO"", ""EN""), """")"),"")</f>
        <v/>
      </c>
      <c r="M332" s="5" t="str">
        <f>IFERROR(__xludf.DUMMYFUNCTION("IF(T332&lt;&gt;"""", GOOGLETRANSLATE(T332, ""RO"", ""EN""), """")"),"")</f>
        <v/>
      </c>
      <c r="N332" s="5" t="str">
        <f>IFERROR(__xludf.DUMMYFUNCTION("IF(Y332&lt;&gt;"""", GOOGLETRANSLATE(Y332, ""RO"", ""EN""), """")"),"")</f>
        <v/>
      </c>
    </row>
    <row r="333" ht="15.75" customHeight="1">
      <c r="A333" s="4" t="s">
        <v>1051</v>
      </c>
      <c r="B333" s="4" t="s">
        <v>1052</v>
      </c>
      <c r="C333" s="4" t="str">
        <f>IFERROR(__xludf.DUMMYFUNCTION("GOOGLETRANSLATE(B333, ""RO"", ""EN"")"),"The duration of the interview")</f>
        <v>The duration of the interview</v>
      </c>
      <c r="D333" s="5" t="str">
        <f>IFERROR(__xludf.DUMMYFUNCTION("IF(O333&lt;&gt;"""", GOOGLETRANSLATE(O333, ""RO"", ""EN""), """")"),"")</f>
        <v/>
      </c>
      <c r="E333" s="6" t="str">
        <f>IFERROR(__xludf.DUMMYFUNCTION("IF(P333&lt;&gt;"""", GOOGLETRANSLATE(P333, ""RO"", ""EN""), """")"),"")</f>
        <v/>
      </c>
      <c r="F333" s="5" t="str">
        <f>IFERROR(__xludf.DUMMYFUNCTION("IF(Q333&lt;&gt;"""", GOOGLETRANSLATE(Q333, ""RO"", ""EN""), """")"),"")</f>
        <v/>
      </c>
      <c r="G333" s="5" t="str">
        <f>IFERROR(__xludf.DUMMYFUNCTION("IF(R333&lt;&gt;"""", GOOGLETRANSLATE(R333, ""RO"", ""EN""), """")"),"")</f>
        <v/>
      </c>
      <c r="H333" s="5" t="str">
        <f>IFERROR(__xludf.DUMMYFUNCTION("IF(U333&lt;&gt;"""", GOOGLETRANSLATE(U333, ""RO"", ""EN""), """")"),"")</f>
        <v/>
      </c>
      <c r="I333" s="5" t="str">
        <f>IFERROR(__xludf.DUMMYFUNCTION("IF(V333&lt;&gt;"""", GOOGLETRANSLATE(V333, ""RO"", ""EN""), """")"),"")</f>
        <v/>
      </c>
      <c r="J333" s="5" t="str">
        <f>IFERROR(__xludf.DUMMYFUNCTION("IF(W333&lt;&gt;"""", GOOGLETRANSLATE(W333, ""RO"", ""EN""), """")"),"")</f>
        <v/>
      </c>
      <c r="K333" s="5" t="str">
        <f>IFERROR(__xludf.DUMMYFUNCTION("IF(X333&lt;&gt;"""", GOOGLETRANSLATE(X333, ""RO"", ""EN""), """")"),"")</f>
        <v/>
      </c>
      <c r="L333" s="5" t="str">
        <f>IFERROR(__xludf.DUMMYFUNCTION("IF(S333&lt;&gt;"""", GOOGLETRANSLATE(S333, ""RO"", ""EN""), """")"),"")</f>
        <v/>
      </c>
      <c r="M333" s="5" t="str">
        <f>IFERROR(__xludf.DUMMYFUNCTION("IF(T333&lt;&gt;"""", GOOGLETRANSLATE(T333, ""RO"", ""EN""), """")"),"")</f>
        <v/>
      </c>
      <c r="N333" s="5" t="str">
        <f>IFERROR(__xludf.DUMMYFUNCTION("IF(Y333&lt;&gt;"""", GOOGLETRANSLATE(Y333, ""RO"", ""EN""), """")"),"")</f>
        <v/>
      </c>
    </row>
    <row r="334" ht="15.75" customHeight="1">
      <c r="A334" s="4" t="s">
        <v>1053</v>
      </c>
      <c r="B334" s="4" t="s">
        <v>1054</v>
      </c>
      <c r="C334" s="4" t="str">
        <f>IFERROR(__xludf.DUMMYFUNCTION("GOOGLETRANSLATE(B334, ""RO"", ""EN"")"),"The operator's code")</f>
        <v>The operator's code</v>
      </c>
      <c r="D334" s="5" t="str">
        <f>IFERROR(__xludf.DUMMYFUNCTION("IF(O334&lt;&gt;"""", GOOGLETRANSLATE(O334, ""RO"", ""EN""), """")"),"")</f>
        <v/>
      </c>
      <c r="E334" s="6" t="str">
        <f>IFERROR(__xludf.DUMMYFUNCTION("IF(P334&lt;&gt;"""", GOOGLETRANSLATE(P334, ""RO"", ""EN""), """")"),"")</f>
        <v/>
      </c>
      <c r="F334" s="5" t="str">
        <f>IFERROR(__xludf.DUMMYFUNCTION("IF(Q334&lt;&gt;"""", GOOGLETRANSLATE(Q334, ""RO"", ""EN""), """")"),"")</f>
        <v/>
      </c>
      <c r="G334" s="5" t="str">
        <f>IFERROR(__xludf.DUMMYFUNCTION("IF(R334&lt;&gt;"""", GOOGLETRANSLATE(R334, ""RO"", ""EN""), """")"),"")</f>
        <v/>
      </c>
      <c r="H334" s="5" t="str">
        <f>IFERROR(__xludf.DUMMYFUNCTION("IF(U334&lt;&gt;"""", GOOGLETRANSLATE(U334, ""RO"", ""EN""), """")"),"")</f>
        <v/>
      </c>
      <c r="I334" s="5" t="str">
        <f>IFERROR(__xludf.DUMMYFUNCTION("IF(V334&lt;&gt;"""", GOOGLETRANSLATE(V334, ""RO"", ""EN""), """")"),"")</f>
        <v/>
      </c>
      <c r="J334" s="5" t="str">
        <f>IFERROR(__xludf.DUMMYFUNCTION("IF(W334&lt;&gt;"""", GOOGLETRANSLATE(W334, ""RO"", ""EN""), """")"),"")</f>
        <v/>
      </c>
      <c r="K334" s="5" t="str">
        <f>IFERROR(__xludf.DUMMYFUNCTION("IF(X334&lt;&gt;"""", GOOGLETRANSLATE(X334, ""RO"", ""EN""), """")"),"")</f>
        <v/>
      </c>
      <c r="L334" s="5" t="str">
        <f>IFERROR(__xludf.DUMMYFUNCTION("IF(S334&lt;&gt;"""", GOOGLETRANSLATE(S334, ""RO"", ""EN""), """")"),"")</f>
        <v/>
      </c>
      <c r="M334" s="5" t="str">
        <f>IFERROR(__xludf.DUMMYFUNCTION("IF(T334&lt;&gt;"""", GOOGLETRANSLATE(T334, ""RO"", ""EN""), """")"),"")</f>
        <v/>
      </c>
      <c r="N334" s="5" t="str">
        <f>IFERROR(__xludf.DUMMYFUNCTION("IF(Y334&lt;&gt;"""", GOOGLETRANSLATE(Y334, ""RO"", ""EN""), """")"),"")</f>
        <v/>
      </c>
    </row>
    <row r="335" ht="15.75" customHeight="1">
      <c r="A335" s="4" t="s">
        <v>1055</v>
      </c>
      <c r="B335" s="4" t="s">
        <v>1056</v>
      </c>
      <c r="C335" s="4" t="str">
        <f>IFERROR(__xludf.DUMMYFUNCTION("GOOGLETRANSLATE(B335, ""RO"", ""EN"")"),"Supervisor code")</f>
        <v>Supervisor code</v>
      </c>
      <c r="D335" s="5" t="str">
        <f>IFERROR(__xludf.DUMMYFUNCTION("IF(O335&lt;&gt;"""", GOOGLETRANSLATE(O335, ""RO"", ""EN""), """")"),"")</f>
        <v/>
      </c>
      <c r="E335" s="6" t="str">
        <f>IFERROR(__xludf.DUMMYFUNCTION("IF(P335&lt;&gt;"""", GOOGLETRANSLATE(P335, ""RO"", ""EN""), """")"),"")</f>
        <v/>
      </c>
      <c r="F335" s="5" t="str">
        <f>IFERROR(__xludf.DUMMYFUNCTION("IF(Q335&lt;&gt;"""", GOOGLETRANSLATE(Q335, ""RO"", ""EN""), """")"),"")</f>
        <v/>
      </c>
      <c r="G335" s="5" t="str">
        <f>IFERROR(__xludf.DUMMYFUNCTION("IF(R335&lt;&gt;"""", GOOGLETRANSLATE(R335, ""RO"", ""EN""), """")"),"")</f>
        <v/>
      </c>
      <c r="H335" s="5" t="str">
        <f>IFERROR(__xludf.DUMMYFUNCTION("IF(U335&lt;&gt;"""", GOOGLETRANSLATE(U335, ""RO"", ""EN""), """")"),"")</f>
        <v/>
      </c>
      <c r="I335" s="5" t="str">
        <f>IFERROR(__xludf.DUMMYFUNCTION("IF(V335&lt;&gt;"""", GOOGLETRANSLATE(V335, ""RO"", ""EN""), """")"),"")</f>
        <v/>
      </c>
      <c r="J335" s="5" t="str">
        <f>IFERROR(__xludf.DUMMYFUNCTION("IF(W335&lt;&gt;"""", GOOGLETRANSLATE(W335, ""RO"", ""EN""), """")"),"")</f>
        <v/>
      </c>
      <c r="K335" s="5" t="str">
        <f>IFERROR(__xludf.DUMMYFUNCTION("IF(X335&lt;&gt;"""", GOOGLETRANSLATE(X335, ""RO"", ""EN""), """")"),"")</f>
        <v/>
      </c>
      <c r="L335" s="5" t="str">
        <f>IFERROR(__xludf.DUMMYFUNCTION("IF(S335&lt;&gt;"""", GOOGLETRANSLATE(S335, ""RO"", ""EN""), """")"),"")</f>
        <v/>
      </c>
      <c r="M335" s="5" t="str">
        <f>IFERROR(__xludf.DUMMYFUNCTION("IF(T335&lt;&gt;"""", GOOGLETRANSLATE(T335, ""RO"", ""EN""), """")"),"")</f>
        <v/>
      </c>
      <c r="N335" s="5" t="str">
        <f>IFERROR(__xludf.DUMMYFUNCTION("IF(Y335&lt;&gt;"""", GOOGLETRANSLATE(Y335, ""RO"", ""EN""), """")"),"")</f>
        <v/>
      </c>
    </row>
    <row r="336" ht="15.75" customHeight="1">
      <c r="A336" s="4" t="s">
        <v>1057</v>
      </c>
      <c r="B336" s="4" t="s">
        <v>1058</v>
      </c>
      <c r="C336" s="4" t="str">
        <f>IFERROR(__xludf.DUMMYFUNCTION("GOOGLETRANSLATE(B336, ""RO"", ""EN"")"),"Intro code")</f>
        <v>Intro code</v>
      </c>
      <c r="D336" s="5" t="str">
        <f>IFERROR(__xludf.DUMMYFUNCTION("IF(O336&lt;&gt;"""", GOOGLETRANSLATE(O336, ""RO"", ""EN""), """")"),"")</f>
        <v/>
      </c>
      <c r="E336" s="6" t="str">
        <f>IFERROR(__xludf.DUMMYFUNCTION("IF(P336&lt;&gt;"""", GOOGLETRANSLATE(P336, ""RO"", ""EN""), """")"),"")</f>
        <v/>
      </c>
      <c r="F336" s="5" t="str">
        <f>IFERROR(__xludf.DUMMYFUNCTION("IF(Q336&lt;&gt;"""", GOOGLETRANSLATE(Q336, ""RO"", ""EN""), """")"),"")</f>
        <v/>
      </c>
      <c r="G336" s="5" t="str">
        <f>IFERROR(__xludf.DUMMYFUNCTION("IF(R336&lt;&gt;"""", GOOGLETRANSLATE(R336, ""RO"", ""EN""), """")"),"")</f>
        <v/>
      </c>
      <c r="H336" s="5" t="str">
        <f>IFERROR(__xludf.DUMMYFUNCTION("IF(U336&lt;&gt;"""", GOOGLETRANSLATE(U336, ""RO"", ""EN""), """")"),"")</f>
        <v/>
      </c>
      <c r="I336" s="5" t="str">
        <f>IFERROR(__xludf.DUMMYFUNCTION("IF(V336&lt;&gt;"""", GOOGLETRANSLATE(V336, ""RO"", ""EN""), """")"),"")</f>
        <v/>
      </c>
      <c r="J336" s="5" t="str">
        <f>IFERROR(__xludf.DUMMYFUNCTION("IF(W336&lt;&gt;"""", GOOGLETRANSLATE(W336, ""RO"", ""EN""), """")"),"")</f>
        <v/>
      </c>
      <c r="K336" s="5" t="str">
        <f>IFERROR(__xludf.DUMMYFUNCTION("IF(X336&lt;&gt;"""", GOOGLETRANSLATE(X336, ""RO"", ""EN""), """")"),"")</f>
        <v/>
      </c>
      <c r="L336" s="5" t="str">
        <f>IFERROR(__xludf.DUMMYFUNCTION("IF(S336&lt;&gt;"""", GOOGLETRANSLATE(S336, ""RO"", ""EN""), """")"),"")</f>
        <v/>
      </c>
      <c r="M336" s="5" t="str">
        <f>IFERROR(__xludf.DUMMYFUNCTION("IF(T336&lt;&gt;"""", GOOGLETRANSLATE(T336, ""RO"", ""EN""), """")"),"")</f>
        <v/>
      </c>
      <c r="N336" s="5" t="str">
        <f>IFERROR(__xludf.DUMMYFUNCTION("IF(Y336&lt;&gt;"""", GOOGLETRANSLATE(Y336, ""RO"", ""EN""), """")"),"")</f>
        <v/>
      </c>
    </row>
    <row r="337" ht="15.75" customHeight="1">
      <c r="A337" s="4" t="s">
        <v>1059</v>
      </c>
      <c r="B337" s="4" t="s">
        <v>1060</v>
      </c>
      <c r="C337" s="4" t="str">
        <f>IFERROR(__xludf.DUMMYFUNCTION("GOOGLETRANSLATE(B337, ""RO"", ""EN"")"),"============= Separator Wave 2 =========")</f>
        <v>============= Separator Wave 2 =========</v>
      </c>
      <c r="D337" s="5" t="str">
        <f>IFERROR(__xludf.DUMMYFUNCTION("IF(O337&lt;&gt;"""", GOOGLETRANSLATE(O337, ""RO"", ""EN""), """")"),"")</f>
        <v/>
      </c>
      <c r="E337" s="6" t="str">
        <f>IFERROR(__xludf.DUMMYFUNCTION("IF(P337&lt;&gt;"""", GOOGLETRANSLATE(P337, ""RO"", ""EN""), """")"),"")</f>
        <v/>
      </c>
      <c r="F337" s="5" t="str">
        <f>IFERROR(__xludf.DUMMYFUNCTION("IF(Q337&lt;&gt;"""", GOOGLETRANSLATE(Q337, ""RO"", ""EN""), """")"),"")</f>
        <v/>
      </c>
      <c r="G337" s="5" t="str">
        <f>IFERROR(__xludf.DUMMYFUNCTION("IF(R337&lt;&gt;"""", GOOGLETRANSLATE(R337, ""RO"", ""EN""), """")"),"")</f>
        <v/>
      </c>
      <c r="H337" s="5" t="str">
        <f>IFERROR(__xludf.DUMMYFUNCTION("IF(U337&lt;&gt;"""", GOOGLETRANSLATE(U337, ""RO"", ""EN""), """")"),"")</f>
        <v/>
      </c>
      <c r="I337" s="5" t="str">
        <f>IFERROR(__xludf.DUMMYFUNCTION("IF(V337&lt;&gt;"""", GOOGLETRANSLATE(V337, ""RO"", ""EN""), """")"),"")</f>
        <v/>
      </c>
      <c r="J337" s="5" t="str">
        <f>IFERROR(__xludf.DUMMYFUNCTION("IF(W337&lt;&gt;"""", GOOGLETRANSLATE(W337, ""RO"", ""EN""), """")"),"")</f>
        <v/>
      </c>
      <c r="K337" s="5" t="str">
        <f>IFERROR(__xludf.DUMMYFUNCTION("IF(X337&lt;&gt;"""", GOOGLETRANSLATE(X337, ""RO"", ""EN""), """")"),"")</f>
        <v/>
      </c>
      <c r="L337" s="5" t="str">
        <f>IFERROR(__xludf.DUMMYFUNCTION("IF(S337&lt;&gt;"""", GOOGLETRANSLATE(S337, ""RO"", ""EN""), """")"),"")</f>
        <v/>
      </c>
      <c r="M337" s="5" t="str">
        <f>IFERROR(__xludf.DUMMYFUNCTION("IF(T337&lt;&gt;"""", GOOGLETRANSLATE(T337, ""RO"", ""EN""), """")"),"")</f>
        <v/>
      </c>
      <c r="N337" s="5" t="str">
        <f>IFERROR(__xludf.DUMMYFUNCTION("IF(Y337&lt;&gt;"""", GOOGLETRANSLATE(Y337, ""RO"", ""EN""), """")"),"")</f>
        <v/>
      </c>
    </row>
    <row r="338" ht="15.75" customHeight="1">
      <c r="A338" s="4" t="s">
        <v>1061</v>
      </c>
      <c r="B338" s="4" t="s">
        <v>1062</v>
      </c>
      <c r="C338" s="4" t="str">
        <f>IFERROR(__xludf.DUMMYFUNCTION("GOOGLETRANSLATE(B338, ""RO"", ""EN"")"),"The status of the respondent in wave 2")</f>
        <v>The status of the respondent in wave 2</v>
      </c>
      <c r="D338" s="5" t="str">
        <f>IFERROR(__xludf.DUMMYFUNCTION("IF(O338&lt;&gt;"""", GOOGLETRANSLATE(O338, ""RO"", ""EN""), """")"),"Lack of contact")</f>
        <v>Lack of contact</v>
      </c>
      <c r="E338" s="6" t="str">
        <f>IFERROR(__xludf.DUMMYFUNCTION("IF(P338&lt;&gt;"""", GOOGLETRANSLATE(P338, ""RO"", ""EN""), """")"),"completed interview")</f>
        <v>completed interview</v>
      </c>
      <c r="F338" s="5" t="str">
        <f>IFERROR(__xludf.DUMMYFUNCTION("IF(Q338&lt;&gt;"""", GOOGLETRANSLATE(Q338, ""RO"", ""EN""), """")"),"Confirmation - Reintervation refused")</f>
        <v>Confirmation - Reintervation refused</v>
      </c>
      <c r="G338" s="5" t="str">
        <f>IFERROR(__xludf.DUMMYFUNCTION("IF(R338&lt;&gt;"""", GOOGLETRANSLATE(R338, ""RO"", ""EN""), """")"),"Confirmation - Reintegration Reframmed")</f>
        <v>Confirmation - Reintegration Reframmed</v>
      </c>
      <c r="H338" s="5" t="str">
        <f>IFERROR(__xludf.DUMMYFUNCTION("IF(U338&lt;&gt;"""", GOOGLETRANSLATE(U338, ""RO"", ""EN""), """")"),"unfinished reprogramming")</f>
        <v>unfinished reprogramming</v>
      </c>
      <c r="I338" s="5" t="str">
        <f>IFERROR(__xludf.DUMMYFUNCTION("IF(V338&lt;&gt;"""", GOOGLETRANSLATE(V338, ""RO"", ""EN""), """")"),"I reflect")</f>
        <v>I reflect</v>
      </c>
      <c r="J338" s="5" t="str">
        <f>IFERROR(__xludf.DUMMYFUNCTION("IF(W338&lt;&gt;"""", GOOGLETRANSLATE(W338, ""RO"", ""EN""), """")"),"wrong number")</f>
        <v>wrong number</v>
      </c>
      <c r="K338" s="5" t="str">
        <f>IFERROR(__xludf.DUMMYFUNCTION("IF(X338&lt;&gt;"""", GOOGLETRANSLATE(X338, ""RO"", ""EN""), """")"),"Val 1 interview 1 unconfirmed")</f>
        <v>Val 1 interview 1 unconfirmed</v>
      </c>
      <c r="L338" s="5" t="str">
        <f>IFERROR(__xludf.DUMMYFUNCTION("IF(S338&lt;&gt;"""", GOOGLETRANSLATE(S338, ""RO"", ""EN""), """")"),"Lack of contact because of the intermediary")</f>
        <v>Lack of contact because of the intermediary</v>
      </c>
      <c r="M338" s="5" t="str">
        <f>IFERROR(__xludf.DUMMYFUNCTION("IF(T338&lt;&gt;"""", GOOGLETRANSLATE(T338, ""RO"", ""EN""), """")"),"Suspended interview")</f>
        <v>Suspended interview</v>
      </c>
      <c r="N338" s="5" t="str">
        <f>IFERROR(__xludf.DUMMYFUNCTION("IF(Y338&lt;&gt;"""", GOOGLETRANSLATE(Y338, ""RO"", ""EN""), """")"),"Unelligible (missing phone)")</f>
        <v>Unelligible (missing phone)</v>
      </c>
      <c r="O338" s="4" t="s">
        <v>1063</v>
      </c>
      <c r="P338" s="4" t="s">
        <v>1064</v>
      </c>
      <c r="Q338" s="4" t="s">
        <v>1065</v>
      </c>
      <c r="R338" s="4" t="s">
        <v>1066</v>
      </c>
      <c r="S338" s="4" t="s">
        <v>1067</v>
      </c>
      <c r="T338" s="4" t="s">
        <v>1068</v>
      </c>
      <c r="U338" s="4" t="s">
        <v>1069</v>
      </c>
      <c r="V338" s="4" t="s">
        <v>1070</v>
      </c>
      <c r="W338" s="4" t="s">
        <v>1071</v>
      </c>
      <c r="X338" s="4" t="s">
        <v>1072</v>
      </c>
      <c r="Y338" s="4" t="s">
        <v>1073</v>
      </c>
      <c r="BN338" s="4" t="s">
        <v>1074</v>
      </c>
    </row>
    <row r="339" ht="15.75" customHeight="1">
      <c r="A339" s="4" t="s">
        <v>1075</v>
      </c>
      <c r="B339" s="4" t="s">
        <v>1076</v>
      </c>
      <c r="C339" s="4" t="str">
        <f>IFERROR(__xludf.DUMMYFUNCTION("GOOGLETRANSLATE(B339, ""RO"", ""EN"")"),"Fictional phone")</f>
        <v>Fictional phone</v>
      </c>
      <c r="D339" s="5" t="str">
        <f>IFERROR(__xludf.DUMMYFUNCTION("IF(O339&lt;&gt;"""", GOOGLETRANSLATE(O339, ""RO"", ""EN""), """")"),"")</f>
        <v/>
      </c>
      <c r="E339" s="6" t="str">
        <f>IFERROR(__xludf.DUMMYFUNCTION("IF(P339&lt;&gt;"""", GOOGLETRANSLATE(P339, ""RO"", ""EN""), """")"),"")</f>
        <v/>
      </c>
      <c r="F339" s="5" t="str">
        <f>IFERROR(__xludf.DUMMYFUNCTION("IF(Q339&lt;&gt;"""", GOOGLETRANSLATE(Q339, ""RO"", ""EN""), """")"),"")</f>
        <v/>
      </c>
      <c r="G339" s="5" t="str">
        <f>IFERROR(__xludf.DUMMYFUNCTION("IF(R339&lt;&gt;"""", GOOGLETRANSLATE(R339, ""RO"", ""EN""), """")"),"")</f>
        <v/>
      </c>
      <c r="H339" s="5" t="str">
        <f>IFERROR(__xludf.DUMMYFUNCTION("IF(U339&lt;&gt;"""", GOOGLETRANSLATE(U339, ""RO"", ""EN""), """")"),"")</f>
        <v/>
      </c>
      <c r="I339" s="5" t="str">
        <f>IFERROR(__xludf.DUMMYFUNCTION("IF(V339&lt;&gt;"""", GOOGLETRANSLATE(V339, ""RO"", ""EN""), """")"),"")</f>
        <v/>
      </c>
      <c r="J339" s="5" t="str">
        <f>IFERROR(__xludf.DUMMYFUNCTION("IF(W339&lt;&gt;"""", GOOGLETRANSLATE(W339, ""RO"", ""EN""), """")"),"")</f>
        <v/>
      </c>
      <c r="K339" s="5" t="str">
        <f>IFERROR(__xludf.DUMMYFUNCTION("IF(X339&lt;&gt;"""", GOOGLETRANSLATE(X339, ""RO"", ""EN""), """")"),"")</f>
        <v/>
      </c>
      <c r="L339" s="5" t="str">
        <f>IFERROR(__xludf.DUMMYFUNCTION("IF(S339&lt;&gt;"""", GOOGLETRANSLATE(S339, ""RO"", ""EN""), """")"),"")</f>
        <v/>
      </c>
      <c r="M339" s="5" t="str">
        <f>IFERROR(__xludf.DUMMYFUNCTION("IF(T339&lt;&gt;"""", GOOGLETRANSLATE(T339, ""RO"", ""EN""), """")"),"")</f>
        <v/>
      </c>
      <c r="N339" s="5" t="str">
        <f>IFERROR(__xludf.DUMMYFUNCTION("IF(Y339&lt;&gt;"""", GOOGLETRANSLATE(Y339, ""RO"", ""EN""), """")"),"")</f>
        <v/>
      </c>
    </row>
    <row r="340" ht="15.75" customHeight="1">
      <c r="A340" s="4" t="s">
        <v>1077</v>
      </c>
      <c r="B340" s="4" t="s">
        <v>1078</v>
      </c>
      <c r="C340" s="4" t="str">
        <f>IFERROR(__xludf.DUMMYFUNCTION("GOOGLETRANSLATE(B340, ""RO"", ""EN"")"),"He called on the phone ...")</f>
        <v>He called on the phone ...</v>
      </c>
      <c r="D340" s="5" t="str">
        <f>IFERROR(__xludf.DUMMYFUNCTION("IF(O340&lt;&gt;"""", GOOGLETRANSLATE(O340, ""RO"", ""EN""), """")"),"There is no phone")</f>
        <v>There is no phone</v>
      </c>
      <c r="E340" s="6" t="str">
        <f>IFERROR(__xludf.DUMMYFUNCTION("IF(P340&lt;&gt;"""", GOOGLETRANSLATE(P340, ""RO"", ""EN""), """")"),"the respondent's phone")</f>
        <v>the respondent's phone</v>
      </c>
      <c r="F340" s="5" t="str">
        <f>IFERROR(__xludf.DUMMYFUNCTION("IF(Q340&lt;&gt;"""", GOOGLETRANSLATE(Q340, ""RO"", ""EN""), """")"),"the phone of an intermediary")</f>
        <v>the phone of an intermediary</v>
      </c>
      <c r="G340" s="5" t="str">
        <f>IFERROR(__xludf.DUMMYFUNCTION("IF(R340&lt;&gt;"""", GOOGLETRANSLATE(R340, ""RO"", ""EN""), """")"),"")</f>
        <v/>
      </c>
      <c r="H340" s="5" t="str">
        <f>IFERROR(__xludf.DUMMYFUNCTION("IF(U340&lt;&gt;"""", GOOGLETRANSLATE(U340, ""RO"", ""EN""), """")"),"")</f>
        <v/>
      </c>
      <c r="I340" s="5" t="str">
        <f>IFERROR(__xludf.DUMMYFUNCTION("IF(V340&lt;&gt;"""", GOOGLETRANSLATE(V340, ""RO"", ""EN""), """")"),"")</f>
        <v/>
      </c>
      <c r="J340" s="5" t="str">
        <f>IFERROR(__xludf.DUMMYFUNCTION("IF(W340&lt;&gt;"""", GOOGLETRANSLATE(W340, ""RO"", ""EN""), """")"),"")</f>
        <v/>
      </c>
      <c r="K340" s="5" t="str">
        <f>IFERROR(__xludf.DUMMYFUNCTION("IF(X340&lt;&gt;"""", GOOGLETRANSLATE(X340, ""RO"", ""EN""), """")"),"")</f>
        <v/>
      </c>
      <c r="L340" s="5" t="str">
        <f>IFERROR(__xludf.DUMMYFUNCTION("IF(S340&lt;&gt;"""", GOOGLETRANSLATE(S340, ""RO"", ""EN""), """")"),"")</f>
        <v/>
      </c>
      <c r="M340" s="5" t="str">
        <f>IFERROR(__xludf.DUMMYFUNCTION("IF(T340&lt;&gt;"""", GOOGLETRANSLATE(T340, ""RO"", ""EN""), """")"),"")</f>
        <v/>
      </c>
      <c r="N340" s="5" t="str">
        <f>IFERROR(__xludf.DUMMYFUNCTION("IF(Y340&lt;&gt;"""", GOOGLETRANSLATE(Y340, ""RO"", ""EN""), """")"),"")</f>
        <v/>
      </c>
      <c r="O340" s="4" t="s">
        <v>1079</v>
      </c>
      <c r="P340" s="4" t="s">
        <v>1080</v>
      </c>
      <c r="Q340" s="4" t="s">
        <v>1081</v>
      </c>
    </row>
    <row r="341" ht="15.75" customHeight="1">
      <c r="A341" s="4" t="s">
        <v>1082</v>
      </c>
      <c r="B341" s="4" t="s">
        <v>1083</v>
      </c>
      <c r="C341" s="4" t="str">
        <f>IFERROR(__xludf.DUMMYFUNCTION("GOOGLETRANSLATE(B341, ""RO"", ""EN"")"),"No. calls in wave 2")</f>
        <v>No. calls in wave 2</v>
      </c>
      <c r="D341" s="5" t="str">
        <f>IFERROR(__xludf.DUMMYFUNCTION("IF(O341&lt;&gt;"""", GOOGLETRANSLATE(O341, ""RO"", ""EN""), """")"),"")</f>
        <v/>
      </c>
      <c r="E341" s="6" t="str">
        <f>IFERROR(__xludf.DUMMYFUNCTION("IF(P341&lt;&gt;"""", GOOGLETRANSLATE(P341, ""RO"", ""EN""), """")"),"")</f>
        <v/>
      </c>
      <c r="F341" s="5" t="str">
        <f>IFERROR(__xludf.DUMMYFUNCTION("IF(Q341&lt;&gt;"""", GOOGLETRANSLATE(Q341, ""RO"", ""EN""), """")"),"")</f>
        <v/>
      </c>
      <c r="G341" s="5" t="str">
        <f>IFERROR(__xludf.DUMMYFUNCTION("IF(R341&lt;&gt;"""", GOOGLETRANSLATE(R341, ""RO"", ""EN""), """")"),"")</f>
        <v/>
      </c>
      <c r="H341" s="5" t="str">
        <f>IFERROR(__xludf.DUMMYFUNCTION("IF(U341&lt;&gt;"""", GOOGLETRANSLATE(U341, ""RO"", ""EN""), """")"),"")</f>
        <v/>
      </c>
      <c r="I341" s="5" t="str">
        <f>IFERROR(__xludf.DUMMYFUNCTION("IF(V341&lt;&gt;"""", GOOGLETRANSLATE(V341, ""RO"", ""EN""), """")"),"")</f>
        <v/>
      </c>
      <c r="J341" s="5" t="str">
        <f>IFERROR(__xludf.DUMMYFUNCTION("IF(W341&lt;&gt;"""", GOOGLETRANSLATE(W341, ""RO"", ""EN""), """")"),"")</f>
        <v/>
      </c>
      <c r="K341" s="5" t="str">
        <f>IFERROR(__xludf.DUMMYFUNCTION("IF(X341&lt;&gt;"""", GOOGLETRANSLATE(X341, ""RO"", ""EN""), """")"),"")</f>
        <v/>
      </c>
      <c r="L341" s="5" t="str">
        <f>IFERROR(__xludf.DUMMYFUNCTION("IF(S341&lt;&gt;"""", GOOGLETRANSLATE(S341, ""RO"", ""EN""), """")"),"")</f>
        <v/>
      </c>
      <c r="M341" s="5" t="str">
        <f>IFERROR(__xludf.DUMMYFUNCTION("IF(T341&lt;&gt;"""", GOOGLETRANSLATE(T341, ""RO"", ""EN""), """")"),"")</f>
        <v/>
      </c>
      <c r="N341" s="5" t="str">
        <f>IFERROR(__xludf.DUMMYFUNCTION("IF(Y341&lt;&gt;"""", GOOGLETRANSLATE(Y341, ""RO"", ""EN""), """")"),"")</f>
        <v/>
      </c>
    </row>
    <row r="342" ht="15.75" customHeight="1">
      <c r="A342" s="4" t="s">
        <v>1084</v>
      </c>
      <c r="B342" s="4" t="s">
        <v>1085</v>
      </c>
      <c r="C342" s="4" t="str">
        <f>IFERROR(__xludf.DUMMYFUNCTION("GOOGLETRANSLATE(B342, ""RO"", ""EN"")"),"Date Interview Cati (Last Call)")</f>
        <v>Date Interview Cati (Last Call)</v>
      </c>
      <c r="D342" s="5" t="str">
        <f>IFERROR(__xludf.DUMMYFUNCTION("IF(O342&lt;&gt;"""", GOOGLETRANSLATE(O342, ""RO"", ""EN""), """")"),"")</f>
        <v/>
      </c>
      <c r="E342" s="6" t="str">
        <f>IFERROR(__xludf.DUMMYFUNCTION("IF(P342&lt;&gt;"""", GOOGLETRANSLATE(P342, ""RO"", ""EN""), """")"),"")</f>
        <v/>
      </c>
      <c r="F342" s="5" t="str">
        <f>IFERROR(__xludf.DUMMYFUNCTION("IF(Q342&lt;&gt;"""", GOOGLETRANSLATE(Q342, ""RO"", ""EN""), """")"),"")</f>
        <v/>
      </c>
      <c r="G342" s="5" t="str">
        <f>IFERROR(__xludf.DUMMYFUNCTION("IF(R342&lt;&gt;"""", GOOGLETRANSLATE(R342, ""RO"", ""EN""), """")"),"")</f>
        <v/>
      </c>
      <c r="H342" s="5" t="str">
        <f>IFERROR(__xludf.DUMMYFUNCTION("IF(U342&lt;&gt;"""", GOOGLETRANSLATE(U342, ""RO"", ""EN""), """")"),"")</f>
        <v/>
      </c>
      <c r="I342" s="5" t="str">
        <f>IFERROR(__xludf.DUMMYFUNCTION("IF(V342&lt;&gt;"""", GOOGLETRANSLATE(V342, ""RO"", ""EN""), """")"),"")</f>
        <v/>
      </c>
      <c r="J342" s="5" t="str">
        <f>IFERROR(__xludf.DUMMYFUNCTION("IF(W342&lt;&gt;"""", GOOGLETRANSLATE(W342, ""RO"", ""EN""), """")"),"")</f>
        <v/>
      </c>
      <c r="K342" s="5" t="str">
        <f>IFERROR(__xludf.DUMMYFUNCTION("IF(X342&lt;&gt;"""", GOOGLETRANSLATE(X342, ""RO"", ""EN""), """")"),"")</f>
        <v/>
      </c>
      <c r="L342" s="5" t="str">
        <f>IFERROR(__xludf.DUMMYFUNCTION("IF(S342&lt;&gt;"""", GOOGLETRANSLATE(S342, ""RO"", ""EN""), """")"),"")</f>
        <v/>
      </c>
      <c r="M342" s="5" t="str">
        <f>IFERROR(__xludf.DUMMYFUNCTION("IF(T342&lt;&gt;"""", GOOGLETRANSLATE(T342, ""RO"", ""EN""), """")"),"")</f>
        <v/>
      </c>
      <c r="N342" s="5" t="str">
        <f>IFERROR(__xludf.DUMMYFUNCTION("IF(Y342&lt;&gt;"""", GOOGLETRANSLATE(Y342, ""RO"", ""EN""), """")"),"")</f>
        <v/>
      </c>
    </row>
    <row r="343" ht="15.75" customHeight="1">
      <c r="A343" s="4" t="s">
        <v>1086</v>
      </c>
      <c r="B343" s="4" t="s">
        <v>1087</v>
      </c>
      <c r="C343" s="4" t="str">
        <f>IFERROR(__xludf.DUMMYFUNCTION("GOOGLETRANSLATE(B343, ""RO"", ""EN"")"),"Time Interview Cati (Last Call)")</f>
        <v>Time Interview Cati (Last Call)</v>
      </c>
      <c r="D343" s="5" t="str">
        <f>IFERROR(__xludf.DUMMYFUNCTION("IF(O343&lt;&gt;"""", GOOGLETRANSLATE(O343, ""RO"", ""EN""), """")"),"")</f>
        <v/>
      </c>
      <c r="E343" s="6" t="str">
        <f>IFERROR(__xludf.DUMMYFUNCTION("IF(P343&lt;&gt;"""", GOOGLETRANSLATE(P343, ""RO"", ""EN""), """")"),"")</f>
        <v/>
      </c>
      <c r="F343" s="5" t="str">
        <f>IFERROR(__xludf.DUMMYFUNCTION("IF(Q343&lt;&gt;"""", GOOGLETRANSLATE(Q343, ""RO"", ""EN""), """")"),"")</f>
        <v/>
      </c>
      <c r="G343" s="5" t="str">
        <f>IFERROR(__xludf.DUMMYFUNCTION("IF(R343&lt;&gt;"""", GOOGLETRANSLATE(R343, ""RO"", ""EN""), """")"),"")</f>
        <v/>
      </c>
      <c r="H343" s="5" t="str">
        <f>IFERROR(__xludf.DUMMYFUNCTION("IF(U343&lt;&gt;"""", GOOGLETRANSLATE(U343, ""RO"", ""EN""), """")"),"")</f>
        <v/>
      </c>
      <c r="I343" s="5" t="str">
        <f>IFERROR(__xludf.DUMMYFUNCTION("IF(V343&lt;&gt;"""", GOOGLETRANSLATE(V343, ""RO"", ""EN""), """")"),"")</f>
        <v/>
      </c>
      <c r="J343" s="5" t="str">
        <f>IFERROR(__xludf.DUMMYFUNCTION("IF(W343&lt;&gt;"""", GOOGLETRANSLATE(W343, ""RO"", ""EN""), """")"),"")</f>
        <v/>
      </c>
      <c r="K343" s="5" t="str">
        <f>IFERROR(__xludf.DUMMYFUNCTION("IF(X343&lt;&gt;"""", GOOGLETRANSLATE(X343, ""RO"", ""EN""), """")"),"")</f>
        <v/>
      </c>
      <c r="L343" s="5" t="str">
        <f>IFERROR(__xludf.DUMMYFUNCTION("IF(S343&lt;&gt;"""", GOOGLETRANSLATE(S343, ""RO"", ""EN""), """")"),"")</f>
        <v/>
      </c>
      <c r="M343" s="5" t="str">
        <f>IFERROR(__xludf.DUMMYFUNCTION("IF(T343&lt;&gt;"""", GOOGLETRANSLATE(T343, ""RO"", ""EN""), """")"),"")</f>
        <v/>
      </c>
      <c r="N343" s="5" t="str">
        <f>IFERROR(__xludf.DUMMYFUNCTION("IF(Y343&lt;&gt;"""", GOOGLETRANSLATE(Y343, ""RO"", ""EN""), """")"),"")</f>
        <v/>
      </c>
    </row>
    <row r="344" ht="15.75" customHeight="1">
      <c r="A344" s="4" t="s">
        <v>1088</v>
      </c>
      <c r="B344" s="4" t="s">
        <v>1089</v>
      </c>
      <c r="C344" s="4" t="str">
        <f>IFERROR(__xludf.DUMMYFUNCTION("GOOGLETRANSLATE(B344, ""RO"", ""EN"")"),"CATI operator (last call)")</f>
        <v>CATI operator (last call)</v>
      </c>
      <c r="D344" s="5" t="str">
        <f>IFERROR(__xludf.DUMMYFUNCTION("IF(O344&lt;&gt;"""", GOOGLETRANSLATE(O344, ""RO"", ""EN""), """")"),"")</f>
        <v/>
      </c>
      <c r="E344" s="6" t="str">
        <f>IFERROR(__xludf.DUMMYFUNCTION("IF(P344&lt;&gt;"""", GOOGLETRANSLATE(P344, ""RO"", ""EN""), """")"),"")</f>
        <v/>
      </c>
      <c r="F344" s="5" t="str">
        <f>IFERROR(__xludf.DUMMYFUNCTION("IF(Q344&lt;&gt;"""", GOOGLETRANSLATE(Q344, ""RO"", ""EN""), """")"),"")</f>
        <v/>
      </c>
      <c r="G344" s="5" t="str">
        <f>IFERROR(__xludf.DUMMYFUNCTION("IF(R344&lt;&gt;"""", GOOGLETRANSLATE(R344, ""RO"", ""EN""), """")"),"")</f>
        <v/>
      </c>
      <c r="H344" s="5" t="str">
        <f>IFERROR(__xludf.DUMMYFUNCTION("IF(U344&lt;&gt;"""", GOOGLETRANSLATE(U344, ""RO"", ""EN""), """")"),"")</f>
        <v/>
      </c>
      <c r="I344" s="5" t="str">
        <f>IFERROR(__xludf.DUMMYFUNCTION("IF(V344&lt;&gt;"""", GOOGLETRANSLATE(V344, ""RO"", ""EN""), """")"),"")</f>
        <v/>
      </c>
      <c r="J344" s="5" t="str">
        <f>IFERROR(__xludf.DUMMYFUNCTION("IF(W344&lt;&gt;"""", GOOGLETRANSLATE(W344, ""RO"", ""EN""), """")"),"")</f>
        <v/>
      </c>
      <c r="K344" s="5" t="str">
        <f>IFERROR(__xludf.DUMMYFUNCTION("IF(X344&lt;&gt;"""", GOOGLETRANSLATE(X344, ""RO"", ""EN""), """")"),"")</f>
        <v/>
      </c>
      <c r="L344" s="5" t="str">
        <f>IFERROR(__xludf.DUMMYFUNCTION("IF(S344&lt;&gt;"""", GOOGLETRANSLATE(S344, ""RO"", ""EN""), """")"),"")</f>
        <v/>
      </c>
      <c r="M344" s="5" t="str">
        <f>IFERROR(__xludf.DUMMYFUNCTION("IF(T344&lt;&gt;"""", GOOGLETRANSLATE(T344, ""RO"", ""EN""), """")"),"")</f>
        <v/>
      </c>
      <c r="N344" s="5" t="str">
        <f>IFERROR(__xludf.DUMMYFUNCTION("IF(Y344&lt;&gt;"""", GOOGLETRANSLATE(Y344, ""RO"", ""EN""), """")"),"")</f>
        <v/>
      </c>
    </row>
    <row r="345" ht="15.75" customHeight="1">
      <c r="A345" s="4" t="s">
        <v>1090</v>
      </c>
      <c r="B345" s="4" t="s">
        <v>1091</v>
      </c>
      <c r="C345" s="4" t="str">
        <f>IFERROR(__xludf.DUMMYFUNCTION("GOOGLETRANSLATE(B345, ""RO"", ""EN"")"),"randomize")</f>
        <v>randomize</v>
      </c>
      <c r="D345" s="5" t="str">
        <f>IFERROR(__xludf.DUMMYFUNCTION("IF(O345&lt;&gt;"""", GOOGLETRANSLATE(O345, ""RO"", ""EN""), """")"),"")</f>
        <v/>
      </c>
      <c r="E345" s="6" t="str">
        <f>IFERROR(__xludf.DUMMYFUNCTION("IF(P345&lt;&gt;"""", GOOGLETRANSLATE(P345, ""RO"", ""EN""), """")"),"Variant A.")</f>
        <v>Variant A.</v>
      </c>
      <c r="F345" s="5" t="str">
        <f>IFERROR(__xludf.DUMMYFUNCTION("IF(Q345&lt;&gt;"""", GOOGLETRANSLATE(Q345, ""RO"", ""EN""), """")"),"Variant B.")</f>
        <v>Variant B.</v>
      </c>
      <c r="G345" s="5" t="str">
        <f>IFERROR(__xludf.DUMMYFUNCTION("IF(R345&lt;&gt;"""", GOOGLETRANSLATE(R345, ""RO"", ""EN""), """")"),"")</f>
        <v/>
      </c>
      <c r="H345" s="5" t="str">
        <f>IFERROR(__xludf.DUMMYFUNCTION("IF(U345&lt;&gt;"""", GOOGLETRANSLATE(U345, ""RO"", ""EN""), """")"),"")</f>
        <v/>
      </c>
      <c r="I345" s="5" t="str">
        <f>IFERROR(__xludf.DUMMYFUNCTION("IF(V345&lt;&gt;"""", GOOGLETRANSLATE(V345, ""RO"", ""EN""), """")"),"")</f>
        <v/>
      </c>
      <c r="J345" s="5" t="str">
        <f>IFERROR(__xludf.DUMMYFUNCTION("IF(W345&lt;&gt;"""", GOOGLETRANSLATE(W345, ""RO"", ""EN""), """")"),"")</f>
        <v/>
      </c>
      <c r="K345" s="5" t="str">
        <f>IFERROR(__xludf.DUMMYFUNCTION("IF(X345&lt;&gt;"""", GOOGLETRANSLATE(X345, ""RO"", ""EN""), """")"),"")</f>
        <v/>
      </c>
      <c r="L345" s="5" t="str">
        <f>IFERROR(__xludf.DUMMYFUNCTION("IF(S345&lt;&gt;"""", GOOGLETRANSLATE(S345, ""RO"", ""EN""), """")"),"")</f>
        <v/>
      </c>
      <c r="M345" s="5" t="str">
        <f>IFERROR(__xludf.DUMMYFUNCTION("IF(T345&lt;&gt;"""", GOOGLETRANSLATE(T345, ""RO"", ""EN""), """")"),"")</f>
        <v/>
      </c>
      <c r="N345" s="5" t="str">
        <f>IFERROR(__xludf.DUMMYFUNCTION("IF(Y345&lt;&gt;"""", GOOGLETRANSLATE(Y345, ""RO"", ""EN""), """")"),"")</f>
        <v/>
      </c>
      <c r="P345" s="4" t="s">
        <v>88</v>
      </c>
      <c r="Q345" s="4" t="s">
        <v>89</v>
      </c>
    </row>
    <row r="346" ht="15.75" customHeight="1">
      <c r="A346" s="4" t="s">
        <v>1092</v>
      </c>
      <c r="B346" s="4" t="s">
        <v>1093</v>
      </c>
      <c r="C346" s="4" t="str">
        <f>IFERROR(__xludf.DUMMYFUNCTION("GOOGLETRANSLATE(B346, ""RO"", ""EN"")"),"Introduction to the respondent")</f>
        <v>Introduction to the respondent</v>
      </c>
      <c r="D346" s="5" t="str">
        <f>IFERROR(__xludf.DUMMYFUNCTION("IF(O346&lt;&gt;"""", GOOGLETRANSLATE(O346, ""RO"", ""EN""), """")"),"")</f>
        <v/>
      </c>
      <c r="E346" s="6" t="str">
        <f>IFERROR(__xludf.DUMMYFUNCTION("IF(P346&lt;&gt;"""", GOOGLETRANSLATE(P346, ""RO"", ""EN""), """")"),"The respondent is available")</f>
        <v>The respondent is available</v>
      </c>
      <c r="F346" s="5" t="str">
        <f>IFERROR(__xludf.DUMMYFUNCTION("IF(Q346&lt;&gt;"""", GOOGLETRANSLATE(Q346, ""RO"", ""EN""), """")"),"The respondent is not available")</f>
        <v>The respondent is not available</v>
      </c>
      <c r="G346" s="5" t="str">
        <f>IFERROR(__xludf.DUMMYFUNCTION("IF(R346&lt;&gt;"""", GOOGLETRANSLATE(R346, ""RO"", ""EN""), """")"),"The respondent is not available - another phone number")</f>
        <v>The respondent is not available - another phone number</v>
      </c>
      <c r="H346" s="5" t="str">
        <f>IFERROR(__xludf.DUMMYFUNCTION("IF(U346&lt;&gt;"""", GOOGLETRANSLATE(U346, ""RO"", ""EN""), """")"),"There is no person sought at that number")</f>
        <v>There is no person sought at that number</v>
      </c>
      <c r="I346" s="5" t="str">
        <f>IFERROR(__xludf.DUMMYFUNCTION("IF(V346&lt;&gt;"""", GOOGLETRANSLATE(V346, ""RO"", ""EN""), """")"),"")</f>
        <v/>
      </c>
      <c r="J346" s="5" t="str">
        <f>IFERROR(__xludf.DUMMYFUNCTION("IF(W346&lt;&gt;"""", GOOGLETRANSLATE(W346, ""RO"", ""EN""), """")"),"")</f>
        <v/>
      </c>
      <c r="K346" s="5" t="str">
        <f>IFERROR(__xludf.DUMMYFUNCTION("IF(X346&lt;&gt;"""", GOOGLETRANSLATE(X346, ""RO"", ""EN""), """")"),"")</f>
        <v/>
      </c>
      <c r="L346" s="5" t="str">
        <f>IFERROR(__xludf.DUMMYFUNCTION("IF(S346&lt;&gt;"""", GOOGLETRANSLATE(S346, ""RO"", ""EN""), """")"),"")</f>
        <v/>
      </c>
      <c r="M346" s="5" t="str">
        <f>IFERROR(__xludf.DUMMYFUNCTION("IF(T346&lt;&gt;"""", GOOGLETRANSLATE(T346, ""RO"", ""EN""), """")"),"")</f>
        <v/>
      </c>
      <c r="N346" s="5" t="str">
        <f>IFERROR(__xludf.DUMMYFUNCTION("IF(Y346&lt;&gt;"""", GOOGLETRANSLATE(Y346, ""RO"", ""EN""), """")"),"")</f>
        <v/>
      </c>
      <c r="P346" s="4" t="s">
        <v>1094</v>
      </c>
      <c r="Q346" s="4" t="s">
        <v>1095</v>
      </c>
      <c r="R346" s="4" t="s">
        <v>1096</v>
      </c>
      <c r="U346" s="4" t="s">
        <v>1097</v>
      </c>
    </row>
    <row r="347" ht="15.75" customHeight="1">
      <c r="A347" s="4" t="s">
        <v>1098</v>
      </c>
      <c r="B347" s="4" t="s">
        <v>1099</v>
      </c>
      <c r="C347" s="4" t="str">
        <f>IFERROR(__xludf.DUMMYFUNCTION("GOOGLETRANSLATE(B347, ""RO"", ""EN"")"),"Intermediate introduction")</f>
        <v>Intermediate introduction</v>
      </c>
      <c r="D347" s="5" t="str">
        <f>IFERROR(__xludf.DUMMYFUNCTION("IF(O347&lt;&gt;"""", GOOGLETRANSLATE(O347, ""RO"", ""EN""), """")"),"")</f>
        <v/>
      </c>
      <c r="E347" s="6" t="str">
        <f>IFERROR(__xludf.DUMMYFUNCTION("IF(P347&lt;&gt;"""", GOOGLETRANSLATE(P347, ""RO"", ""EN""), """")"),"The intermediary agrees to call the respondent")</f>
        <v>The intermediary agrees to call the respondent</v>
      </c>
      <c r="F347" s="5" t="str">
        <f>IFERROR(__xludf.DUMMYFUNCTION("IF(Q347&lt;&gt;"""", GOOGLETRANSLATE(Q347, ""RO"", ""EN""), """")"),"The intermediary confirms the data but cannot call the respondentu")</f>
        <v>The intermediary confirms the data but cannot call the respondentu</v>
      </c>
      <c r="G347" s="5" t="str">
        <f>IFERROR(__xludf.DUMMYFUNCTION("IF(R347&lt;&gt;"""", GOOGLETRANSLATE(R347, ""RO"", ""EN""), """")"),"The intermediary does not confirm the data")</f>
        <v>The intermediary does not confirm the data</v>
      </c>
      <c r="H347" s="5" t="str">
        <f>IFERROR(__xludf.DUMMYFUNCTION("IF(U347&lt;&gt;"""", GOOGLETRANSLATE(U347, ""RO"", ""EN""), """")"),"Another contact number for the respondent")</f>
        <v>Another contact number for the respondent</v>
      </c>
      <c r="I347" s="5" t="str">
        <f>IFERROR(__xludf.DUMMYFUNCTION("IF(V347&lt;&gt;"""", GOOGLETRANSLATE(V347, ""RO"", ""EN""), """")"),"Another situation, which?")</f>
        <v>Another situation, which?</v>
      </c>
      <c r="J347" s="5" t="str">
        <f>IFERROR(__xludf.DUMMYFUNCTION("IF(W347&lt;&gt;"""", GOOGLETRANSLATE(W347, ""RO"", ""EN""), """")"),"refuse")</f>
        <v>refuse</v>
      </c>
      <c r="K347" s="5" t="str">
        <f>IFERROR(__xludf.DUMMYFUNCTION("IF(X347&lt;&gt;"""", GOOGLETRANSLATE(X347, ""RO"", ""EN""), """")"),"")</f>
        <v/>
      </c>
      <c r="L347" s="5" t="str">
        <f>IFERROR(__xludf.DUMMYFUNCTION("IF(S347&lt;&gt;"""", GOOGLETRANSLATE(S347, ""RO"", ""EN""), """")"),"")</f>
        <v/>
      </c>
      <c r="M347" s="5" t="str">
        <f>IFERROR(__xludf.DUMMYFUNCTION("IF(T347&lt;&gt;"""", GOOGLETRANSLATE(T347, ""RO"", ""EN""), """")"),"")</f>
        <v/>
      </c>
      <c r="N347" s="5" t="str">
        <f>IFERROR(__xludf.DUMMYFUNCTION("IF(Y347&lt;&gt;"""", GOOGLETRANSLATE(Y347, ""RO"", ""EN""), """")"),"")</f>
        <v/>
      </c>
      <c r="P347" s="4" t="s">
        <v>1100</v>
      </c>
      <c r="Q347" s="4" t="s">
        <v>1101</v>
      </c>
      <c r="R347" s="4" t="s">
        <v>1102</v>
      </c>
      <c r="U347" s="4" t="s">
        <v>1103</v>
      </c>
      <c r="V347" s="4" t="s">
        <v>1104</v>
      </c>
      <c r="W347" s="4" t="s">
        <v>1105</v>
      </c>
    </row>
    <row r="348" ht="15.75" customHeight="1">
      <c r="A348" s="4" t="s">
        <v>1106</v>
      </c>
      <c r="B348" s="4" t="s">
        <v>1107</v>
      </c>
      <c r="C348" s="4" t="str">
        <f>IFERROR(__xludf.DUMMYFUNCTION("GOOGLETRANSLATE(B348, ""RO"", ""EN"")"),"Another situation")</f>
        <v>Another situation</v>
      </c>
      <c r="D348" s="5" t="str">
        <f>IFERROR(__xludf.DUMMYFUNCTION("IF(O348&lt;&gt;"""", GOOGLETRANSLATE(O348, ""RO"", ""EN""), """")"),"")</f>
        <v/>
      </c>
      <c r="E348" s="6" t="str">
        <f>IFERROR(__xludf.DUMMYFUNCTION("IF(P348&lt;&gt;"""", GOOGLETRANSLATE(P348, ""RO"", ""EN""), """")"),"")</f>
        <v/>
      </c>
      <c r="F348" s="5" t="str">
        <f>IFERROR(__xludf.DUMMYFUNCTION("IF(Q348&lt;&gt;"""", GOOGLETRANSLATE(Q348, ""RO"", ""EN""), """")"),"")</f>
        <v/>
      </c>
      <c r="G348" s="5" t="str">
        <f>IFERROR(__xludf.DUMMYFUNCTION("IF(R348&lt;&gt;"""", GOOGLETRANSLATE(R348, ""RO"", ""EN""), """")"),"")</f>
        <v/>
      </c>
      <c r="H348" s="5" t="str">
        <f>IFERROR(__xludf.DUMMYFUNCTION("IF(U348&lt;&gt;"""", GOOGLETRANSLATE(U348, ""RO"", ""EN""), """")"),"")</f>
        <v/>
      </c>
      <c r="I348" s="5" t="str">
        <f>IFERROR(__xludf.DUMMYFUNCTION("IF(V348&lt;&gt;"""", GOOGLETRANSLATE(V348, ""RO"", ""EN""), """")"),"")</f>
        <v/>
      </c>
      <c r="J348" s="5" t="str">
        <f>IFERROR(__xludf.DUMMYFUNCTION("IF(W348&lt;&gt;"""", GOOGLETRANSLATE(W348, ""RO"", ""EN""), """")"),"")</f>
        <v/>
      </c>
      <c r="K348" s="5" t="str">
        <f>IFERROR(__xludf.DUMMYFUNCTION("IF(X348&lt;&gt;"""", GOOGLETRANSLATE(X348, ""RO"", ""EN""), """")"),"")</f>
        <v/>
      </c>
      <c r="L348" s="5" t="str">
        <f>IFERROR(__xludf.DUMMYFUNCTION("IF(S348&lt;&gt;"""", GOOGLETRANSLATE(S348, ""RO"", ""EN""), """")"),"")</f>
        <v/>
      </c>
      <c r="M348" s="5" t="str">
        <f>IFERROR(__xludf.DUMMYFUNCTION("IF(T348&lt;&gt;"""", GOOGLETRANSLATE(T348, ""RO"", ""EN""), """")"),"")</f>
        <v/>
      </c>
      <c r="N348" s="5" t="str">
        <f>IFERROR(__xludf.DUMMYFUNCTION("IF(Y348&lt;&gt;"""", GOOGLETRANSLATE(Y348, ""RO"", ""EN""), """")"),"")</f>
        <v/>
      </c>
    </row>
    <row r="349" ht="15.75" customHeight="1">
      <c r="A349" s="4" t="s">
        <v>1108</v>
      </c>
      <c r="B349" s="4" t="s">
        <v>1109</v>
      </c>
      <c r="C349" s="4" t="str">
        <f>IFERROR(__xludf.DUMMYFUNCTION("GOOGLETRANSLATE(B349, ""RO"", ""EN"")"),"Continue interview agreement")</f>
        <v>Continue interview agreement</v>
      </c>
      <c r="D349" s="5" t="str">
        <f>IFERROR(__xludf.DUMMYFUNCTION("IF(O349&lt;&gt;"""", GOOGLETRANSLATE(O349, ""RO"", ""EN""), """")"),"")</f>
        <v/>
      </c>
      <c r="E349" s="6" t="str">
        <f>IFERROR(__xludf.DUMMYFUNCTION("IF(P349&lt;&gt;"""", GOOGLETRANSLATE(P349, ""RO"", ""EN""), """")"),"The respondent confirms and agrees to participate")</f>
        <v>The respondent confirms and agrees to participate</v>
      </c>
      <c r="F349" s="5" t="str">
        <f>IFERROR(__xludf.DUMMYFUNCTION("IF(Q349&lt;&gt;"""", GOOGLETRANSLATE(Q349, ""RO"", ""EN""), """")"),"The respondent confirms participation but does not agree to resecrate")</f>
        <v>The respondent confirms participation but does not agree to resecrate</v>
      </c>
      <c r="G349" s="5" t="str">
        <f>IFERROR(__xludf.DUMMYFUNCTION("IF(R349&lt;&gt;"""", GOOGLETRANSLATE(R349, ""RO"", ""EN""), """")"),"The respondent does not confirm participation in the first wave of probe")</f>
        <v>The respondent does not confirm participation in the first wave of probe</v>
      </c>
      <c r="H349" s="5" t="str">
        <f>IFERROR(__xludf.DUMMYFUNCTION("IF(U349&lt;&gt;"""", GOOGLETRANSLATE(U349, ""RO"", ""EN""), """")"),"Cannot confirm participation, the respondent refuses anything")</f>
        <v>Cannot confirm participation, the respondent refuses anything</v>
      </c>
      <c r="I349" s="5" t="str">
        <f>IFERROR(__xludf.DUMMYFUNCTION("IF(V349&lt;&gt;"""", GOOGLETRANSLATE(V349, ""RO"", ""EN""), """")"),"")</f>
        <v/>
      </c>
      <c r="J349" s="5" t="str">
        <f>IFERROR(__xludf.DUMMYFUNCTION("IF(W349&lt;&gt;"""", GOOGLETRANSLATE(W349, ""RO"", ""EN""), """")"),"")</f>
        <v/>
      </c>
      <c r="K349" s="5" t="str">
        <f>IFERROR(__xludf.DUMMYFUNCTION("IF(X349&lt;&gt;"""", GOOGLETRANSLATE(X349, ""RO"", ""EN""), """")"),"")</f>
        <v/>
      </c>
      <c r="L349" s="5" t="str">
        <f>IFERROR(__xludf.DUMMYFUNCTION("IF(S349&lt;&gt;"""", GOOGLETRANSLATE(S349, ""RO"", ""EN""), """")"),"")</f>
        <v/>
      </c>
      <c r="M349" s="5" t="str">
        <f>IFERROR(__xludf.DUMMYFUNCTION("IF(T349&lt;&gt;"""", GOOGLETRANSLATE(T349, ""RO"", ""EN""), """")"),"")</f>
        <v/>
      </c>
      <c r="N349" s="5" t="str">
        <f>IFERROR(__xludf.DUMMYFUNCTION("IF(Y349&lt;&gt;"""", GOOGLETRANSLATE(Y349, ""RO"", ""EN""), """")"),"")</f>
        <v/>
      </c>
      <c r="P349" s="4" t="s">
        <v>1110</v>
      </c>
      <c r="Q349" s="4" t="s">
        <v>1111</v>
      </c>
      <c r="R349" s="4" t="s">
        <v>1112</v>
      </c>
      <c r="U349" s="4" t="s">
        <v>1113</v>
      </c>
    </row>
    <row r="350" ht="15.75" customHeight="1">
      <c r="A350" s="4" t="s">
        <v>1114</v>
      </c>
      <c r="B350" s="4" t="s">
        <v>1115</v>
      </c>
      <c r="C350" s="4" t="str">
        <f>IFERROR(__xludf.DUMMYFUNCTION("GOOGLETRANSLATE(B350, ""RO"", ""EN"")"),"Reprogramming interview")</f>
        <v>Reprogramming interview</v>
      </c>
      <c r="D350" s="5" t="str">
        <f>IFERROR(__xludf.DUMMYFUNCTION("IF(O350&lt;&gt;"""", GOOGLETRANSLATE(O350, ""RO"", ""EN""), """")"),"")</f>
        <v/>
      </c>
      <c r="E350" s="6" t="str">
        <f>IFERROR(__xludf.DUMMYFUNCTION("IF(P350&lt;&gt;"""", GOOGLETRANSLATE(P350, ""RO"", ""EN""), """")"),"Accept to reschedule")</f>
        <v>Accept to reschedule</v>
      </c>
      <c r="F350" s="5" t="str">
        <f>IFERROR(__xludf.DUMMYFUNCTION("IF(Q350&lt;&gt;"""", GOOGLETRANSLATE(Q350, ""RO"", ""EN""), """")"),"Refusal")</f>
        <v>Refusal</v>
      </c>
      <c r="G350" s="5" t="str">
        <f>IFERROR(__xludf.DUMMYFUNCTION("IF(R350&lt;&gt;"""", GOOGLETRANSLATE(R350, ""RO"", ""EN""), """")"),"")</f>
        <v/>
      </c>
      <c r="H350" s="5" t="str">
        <f>IFERROR(__xludf.DUMMYFUNCTION("IF(U350&lt;&gt;"""", GOOGLETRANSLATE(U350, ""RO"", ""EN""), """")"),"")</f>
        <v/>
      </c>
      <c r="I350" s="5" t="str">
        <f>IFERROR(__xludf.DUMMYFUNCTION("IF(V350&lt;&gt;"""", GOOGLETRANSLATE(V350, ""RO"", ""EN""), """")"),"")</f>
        <v/>
      </c>
      <c r="J350" s="5" t="str">
        <f>IFERROR(__xludf.DUMMYFUNCTION("IF(W350&lt;&gt;"""", GOOGLETRANSLATE(W350, ""RO"", ""EN""), """")"),"")</f>
        <v/>
      </c>
      <c r="K350" s="5" t="str">
        <f>IFERROR(__xludf.DUMMYFUNCTION("IF(X350&lt;&gt;"""", GOOGLETRANSLATE(X350, ""RO"", ""EN""), """")"),"")</f>
        <v/>
      </c>
      <c r="L350" s="5" t="str">
        <f>IFERROR(__xludf.DUMMYFUNCTION("IF(S350&lt;&gt;"""", GOOGLETRANSLATE(S350, ""RO"", ""EN""), """")"),"")</f>
        <v/>
      </c>
      <c r="M350" s="5" t="str">
        <f>IFERROR(__xludf.DUMMYFUNCTION("IF(T350&lt;&gt;"""", GOOGLETRANSLATE(T350, ""RO"", ""EN""), """")"),"")</f>
        <v/>
      </c>
      <c r="N350" s="5" t="str">
        <f>IFERROR(__xludf.DUMMYFUNCTION("IF(Y350&lt;&gt;"""", GOOGLETRANSLATE(Y350, ""RO"", ""EN""), """")"),"")</f>
        <v/>
      </c>
      <c r="P350" s="4" t="s">
        <v>1116</v>
      </c>
      <c r="Q350" s="4" t="s">
        <v>739</v>
      </c>
    </row>
    <row r="351" ht="15.75" customHeight="1">
      <c r="A351" s="4" t="s">
        <v>1117</v>
      </c>
      <c r="B351" s="4" t="s">
        <v>1118</v>
      </c>
      <c r="C351" s="4" t="str">
        <f>IFERROR(__xludf.DUMMYFUNCTION("GOOGLETRANSLATE(B351, ""RO"", ""EN"")"),"Do you know if someone else in the house has recently responded to a questionnaire on political topics?")</f>
        <v>Do you know if someone else in the house has recently responded to a questionnaire on political topics?</v>
      </c>
      <c r="D351" s="5" t="str">
        <f>IFERROR(__xludf.DUMMYFUNCTION("IF(O351&lt;&gt;"""", GOOGLETRANSLATE(O351, ""RO"", ""EN""), """")"),"")</f>
        <v/>
      </c>
      <c r="E351" s="6" t="str">
        <f>IFERROR(__xludf.DUMMYFUNCTION("IF(P351&lt;&gt;"""", GOOGLETRANSLATE(P351, ""RO"", ""EN""), """")"),"Yes, someone else replied in the household")</f>
        <v>Yes, someone else replied in the household</v>
      </c>
      <c r="F351" s="5" t="str">
        <f>IFERROR(__xludf.DUMMYFUNCTION("IF(Q351&lt;&gt;"""", GOOGLETRANSLATE(Q351, ""RO"", ""EN""), """")"),"No, no one replied")</f>
        <v>No, no one replied</v>
      </c>
      <c r="G351" s="5" t="str">
        <f>IFERROR(__xludf.DUMMYFUNCTION("IF(R351&lt;&gt;"""", GOOGLETRANSLATE(R351, ""RO"", ""EN""), """")"),"The respondent is not well informed/does not know")</f>
        <v>The respondent is not well informed/does not know</v>
      </c>
      <c r="H351" s="5" t="str">
        <f>IFERROR(__xludf.DUMMYFUNCTION("IF(U351&lt;&gt;"""", GOOGLETRANSLATE(U351, ""RO"", ""EN""), """")"),"")</f>
        <v/>
      </c>
      <c r="I351" s="5" t="str">
        <f>IFERROR(__xludf.DUMMYFUNCTION("IF(V351&lt;&gt;"""", GOOGLETRANSLATE(V351, ""RO"", ""EN""), """")"),"")</f>
        <v/>
      </c>
      <c r="J351" s="5" t="str">
        <f>IFERROR(__xludf.DUMMYFUNCTION("IF(W351&lt;&gt;"""", GOOGLETRANSLATE(W351, ""RO"", ""EN""), """")"),"")</f>
        <v/>
      </c>
      <c r="K351" s="5" t="str">
        <f>IFERROR(__xludf.DUMMYFUNCTION("IF(X351&lt;&gt;"""", GOOGLETRANSLATE(X351, ""RO"", ""EN""), """")"),"")</f>
        <v/>
      </c>
      <c r="L351" s="5" t="str">
        <f>IFERROR(__xludf.DUMMYFUNCTION("IF(S351&lt;&gt;"""", GOOGLETRANSLATE(S351, ""RO"", ""EN""), """")"),"")</f>
        <v/>
      </c>
      <c r="M351" s="5" t="str">
        <f>IFERROR(__xludf.DUMMYFUNCTION("IF(T351&lt;&gt;"""", GOOGLETRANSLATE(T351, ""RO"", ""EN""), """")"),"")</f>
        <v/>
      </c>
      <c r="N351" s="5" t="str">
        <f>IFERROR(__xludf.DUMMYFUNCTION("IF(Y351&lt;&gt;"""", GOOGLETRANSLATE(Y351, ""RO"", ""EN""), """")"),"")</f>
        <v/>
      </c>
      <c r="P351" s="4" t="s">
        <v>1119</v>
      </c>
      <c r="Q351" s="4" t="s">
        <v>1120</v>
      </c>
      <c r="R351" s="4" t="s">
        <v>1121</v>
      </c>
    </row>
    <row r="352" ht="15.75" customHeight="1">
      <c r="A352" s="4" t="s">
        <v>1122</v>
      </c>
      <c r="B352" s="4" t="s">
        <v>1123</v>
      </c>
      <c r="C352" s="4" t="str">
        <f>IFERROR(__xludf.DUMMYFUNCTION("GOOGLETRANSLATE(B352, ""RO"", ""EN"")"),"Can you ask you to ask if someone in the household remembers that a colleague of ours would have had someone in your family ...?")</f>
        <v>Can you ask you to ask if someone in the household remembers that a colleague of ours would have had someone in your family ...?</v>
      </c>
      <c r="D352" s="5" t="str">
        <f>IFERROR(__xludf.DUMMYFUNCTION("IF(O352&lt;&gt;"""", GOOGLETRANSLATE(O352, ""RO"", ""EN""), """")"),"")</f>
        <v/>
      </c>
      <c r="E352" s="6" t="str">
        <f>IFERROR(__xludf.DUMMYFUNCTION("IF(P352&lt;&gt;"""", GOOGLETRANSLATE(P352, ""RO"", ""EN""), """")"),"the respondent could be identified")</f>
        <v>the respondent could be identified</v>
      </c>
      <c r="F352" s="5" t="str">
        <f>IFERROR(__xludf.DUMMYFUNCTION("IF(Q352&lt;&gt;"""", GOOGLETRANSLATE(Q352, ""RO"", ""EN""), """")"),"No interview has been confirmed but there is a chance that")</f>
        <v>No interview has been confirmed but there is a chance that</v>
      </c>
      <c r="G352" s="5" t="str">
        <f>IFERROR(__xludf.DUMMYFUNCTION("IF(R352&lt;&gt;"""", GOOGLETRANSLATE(R352, ""RO"", ""EN""), """")"),"It is certain that no person in the household was inter.")</f>
        <v>It is certain that no person in the household was inter.</v>
      </c>
      <c r="H352" s="5" t="str">
        <f>IFERROR(__xludf.DUMMYFUNCTION("IF(U352&lt;&gt;"""", GOOGLETRANSLATE(U352, ""RO"", ""EN""), """")"),"")</f>
        <v/>
      </c>
      <c r="I352" s="5" t="str">
        <f>IFERROR(__xludf.DUMMYFUNCTION("IF(V352&lt;&gt;"""", GOOGLETRANSLATE(V352, ""RO"", ""EN""), """")"),"")</f>
        <v/>
      </c>
      <c r="J352" s="5" t="str">
        <f>IFERROR(__xludf.DUMMYFUNCTION("IF(W352&lt;&gt;"""", GOOGLETRANSLATE(W352, ""RO"", ""EN""), """")"),"")</f>
        <v/>
      </c>
      <c r="K352" s="5" t="str">
        <f>IFERROR(__xludf.DUMMYFUNCTION("IF(X352&lt;&gt;"""", GOOGLETRANSLATE(X352, ""RO"", ""EN""), """")"),"")</f>
        <v/>
      </c>
      <c r="L352" s="5" t="str">
        <f>IFERROR(__xludf.DUMMYFUNCTION("IF(S352&lt;&gt;"""", GOOGLETRANSLATE(S352, ""RO"", ""EN""), """")"),"")</f>
        <v/>
      </c>
      <c r="M352" s="5" t="str">
        <f>IFERROR(__xludf.DUMMYFUNCTION("IF(T352&lt;&gt;"""", GOOGLETRANSLATE(T352, ""RO"", ""EN""), """")"),"")</f>
        <v/>
      </c>
      <c r="N352" s="5" t="str">
        <f>IFERROR(__xludf.DUMMYFUNCTION("IF(Y352&lt;&gt;"""", GOOGLETRANSLATE(Y352, ""RO"", ""EN""), """")"),"")</f>
        <v/>
      </c>
      <c r="P352" s="4" t="s">
        <v>1124</v>
      </c>
      <c r="Q352" s="4" t="s">
        <v>1125</v>
      </c>
      <c r="R352" s="4" t="s">
        <v>1126</v>
      </c>
    </row>
    <row r="353" ht="15.75" customHeight="1">
      <c r="A353" s="4" t="s">
        <v>1127</v>
      </c>
      <c r="B353" s="4" t="s">
        <v>1128</v>
      </c>
      <c r="C353" s="4" t="str">
        <f>IFERROR(__xludf.DUMMYFUNCTION("GOOGLETRANSLATE(B353, ""RO"", ""EN"")"),"Please tell us about how long have you answered our interview operator questions?")</f>
        <v>Please tell us about how long have you answered our interview operator questions?</v>
      </c>
      <c r="D353" s="5" t="str">
        <f>IFERROR(__xludf.DUMMYFUNCTION("IF(O353&lt;&gt;"""", GOOGLETRANSLATE(O353, ""RO"", ""EN""), """")"),"")</f>
        <v/>
      </c>
      <c r="E353" s="6" t="str">
        <f>IFERROR(__xludf.DUMMYFUNCTION("IF(P353&lt;&gt;"""", GOOGLETRANSLATE(P353, ""RO"", ""EN""), """")"),"less than 10 minutes")</f>
        <v>less than 10 minutes</v>
      </c>
      <c r="F353" s="5" t="str">
        <f>IFERROR(__xludf.DUMMYFUNCTION("IF(Q353&lt;&gt;"""", GOOGLETRANSLATE(Q353, ""RO"", ""EN""), """")"),"10 - 15 minutes")</f>
        <v>10 - 15 minutes</v>
      </c>
      <c r="G353" s="5" t="str">
        <f>IFERROR(__xludf.DUMMYFUNCTION("IF(R353&lt;&gt;"""", GOOGLETRANSLATE(R353, ""RO"", ""EN""), """")"),"15 - 20 minutes")</f>
        <v>15 - 20 minutes</v>
      </c>
      <c r="H353" s="5" t="str">
        <f>IFERROR(__xludf.DUMMYFUNCTION("IF(U353&lt;&gt;"""", GOOGLETRANSLATE(U353, ""RO"", ""EN""), """")"),"20-30 minutes")</f>
        <v>20-30 minutes</v>
      </c>
      <c r="I353" s="5" t="str">
        <f>IFERROR(__xludf.DUMMYFUNCTION("IF(V353&lt;&gt;"""", GOOGLETRANSLATE(V353, ""RO"", ""EN""), """")"),"30-45 minutes")</f>
        <v>30-45 minutes</v>
      </c>
      <c r="J353" s="5" t="str">
        <f>IFERROR(__xludf.DUMMYFUNCTION("IF(W353&lt;&gt;"""", GOOGLETRANSLATE(W353, ""RO"", ""EN""), """")"),"over 45 minutes")</f>
        <v>over 45 minutes</v>
      </c>
      <c r="K353" s="5" t="str">
        <f>IFERROR(__xludf.DUMMYFUNCTION("IF(X353&lt;&gt;"""", GOOGLETRANSLATE(X353, ""RO"", ""EN""), """")"),"")</f>
        <v/>
      </c>
      <c r="L353" s="5" t="str">
        <f>IFERROR(__xludf.DUMMYFUNCTION("IF(S353&lt;&gt;"""", GOOGLETRANSLATE(S353, ""RO"", ""EN""), """")"),"")</f>
        <v/>
      </c>
      <c r="M353" s="5" t="str">
        <f>IFERROR(__xludf.DUMMYFUNCTION("IF(T353&lt;&gt;"""", GOOGLETRANSLATE(T353, ""RO"", ""EN""), """")"),"He doesn't remember")</f>
        <v>He doesn't remember</v>
      </c>
      <c r="N353" s="5" t="str">
        <f>IFERROR(__xludf.DUMMYFUNCTION("IF(Y353&lt;&gt;"""", GOOGLETRANSLATE(Y353, ""RO"", ""EN""), """")"),"")</f>
        <v/>
      </c>
      <c r="P353" s="4" t="s">
        <v>1129</v>
      </c>
      <c r="Q353" s="4" t="s">
        <v>1130</v>
      </c>
      <c r="R353" s="4" t="s">
        <v>1131</v>
      </c>
      <c r="T353" s="4" t="s">
        <v>1132</v>
      </c>
      <c r="U353" s="4" t="s">
        <v>1133</v>
      </c>
      <c r="V353" s="4" t="s">
        <v>1134</v>
      </c>
      <c r="W353" s="4" t="s">
        <v>1135</v>
      </c>
    </row>
    <row r="354" ht="15.75" customHeight="1">
      <c r="A354" s="4" t="s">
        <v>1136</v>
      </c>
      <c r="B354" s="4" t="s">
        <v>1137</v>
      </c>
      <c r="C354" s="4" t="str">
        <f>IFERROR(__xludf.DUMMYFUNCTION("GOOGLETRANSLATE(B354, ""RO"", ""EN"")"),"Taking into account the politeness, the outfit, the way you were treated by our operator, please give him a note ...")</f>
        <v>Taking into account the politeness, the outfit, the way you were treated by our operator, please give him a note ...</v>
      </c>
      <c r="D354" s="5" t="str">
        <f>IFERROR(__xludf.DUMMYFUNCTION("IF(O354&lt;&gt;"""", GOOGLETRANSLATE(O354, ""RO"", ""EN""), """")"),"")</f>
        <v/>
      </c>
      <c r="E354" s="6" t="str">
        <f>IFERROR(__xludf.DUMMYFUNCTION("IF(P354&lt;&gt;"""", GOOGLETRANSLATE(P354, ""RO"", ""EN""), """")"),"Very dissatisfied")</f>
        <v>Very dissatisfied</v>
      </c>
      <c r="F354" s="5" t="str">
        <f>IFERROR(__xludf.DUMMYFUNCTION("IF(Q354&lt;&gt;"""", GOOGLETRANSLATE(Q354, ""RO"", ""EN""), """")"),"")</f>
        <v/>
      </c>
      <c r="G354" s="5" t="str">
        <f>IFERROR(__xludf.DUMMYFUNCTION("IF(R354&lt;&gt;"""", GOOGLETRANSLATE(R354, ""RO"", ""EN""), """")"),"")</f>
        <v/>
      </c>
      <c r="H354" s="5" t="str">
        <f>IFERROR(__xludf.DUMMYFUNCTION("IF(U354&lt;&gt;"""", GOOGLETRANSLATE(U354, ""RO"", ""EN""), """")"),"")</f>
        <v/>
      </c>
      <c r="I354" s="5" t="str">
        <f>IFERROR(__xludf.DUMMYFUNCTION("IF(V354&lt;&gt;"""", GOOGLETRANSLATE(V354, ""RO"", ""EN""), """")"),"Very pleased")</f>
        <v>Very pleased</v>
      </c>
      <c r="J354" s="5" t="str">
        <f>IFERROR(__xludf.DUMMYFUNCTION("IF(W354&lt;&gt;"""", GOOGLETRANSLATE(W354, ""RO"", ""EN""), """")"),"")</f>
        <v/>
      </c>
      <c r="K354" s="5" t="str">
        <f>IFERROR(__xludf.DUMMYFUNCTION("IF(X354&lt;&gt;"""", GOOGLETRANSLATE(X354, ""RO"", ""EN""), """")"),"")</f>
        <v/>
      </c>
      <c r="L354" s="5" t="str">
        <f>IFERROR(__xludf.DUMMYFUNCTION("IF(S354&lt;&gt;"""", GOOGLETRANSLATE(S354, ""RO"", ""EN""), """")"),"")</f>
        <v/>
      </c>
      <c r="M354" s="5" t="str">
        <f>IFERROR(__xludf.DUMMYFUNCTION("IF(T354&lt;&gt;"""", GOOGLETRANSLATE(T354, ""RO"", ""EN""), """")"),"No.")</f>
        <v>No.</v>
      </c>
      <c r="N354" s="5" t="str">
        <f>IFERROR(__xludf.DUMMYFUNCTION("IF(Y354&lt;&gt;"""", GOOGLETRANSLATE(Y354, ""RO"", ""EN""), """")"),"")</f>
        <v/>
      </c>
      <c r="P354" s="4" t="s">
        <v>1138</v>
      </c>
      <c r="T354" s="4" t="s">
        <v>104</v>
      </c>
      <c r="V354" s="4" t="s">
        <v>110</v>
      </c>
    </row>
    <row r="355" ht="15.75" customHeight="1">
      <c r="A355" s="4" t="s">
        <v>1139</v>
      </c>
      <c r="B355" s="4" t="s">
        <v>1140</v>
      </c>
      <c r="C355" s="4" t="str">
        <f>IFERROR(__xludf.DUMMYFUNCTION("GOOGLETRANSLATE(B355, ""RO"", ""EN"")"),"To check if our information is correct, in which locality do you live?")</f>
        <v>To check if our information is correct, in which locality do you live?</v>
      </c>
      <c r="D355" s="5" t="str">
        <f>IFERROR(__xludf.DUMMYFUNCTION("IF(O355&lt;&gt;"""", GOOGLETRANSLATE(O355, ""RO"", ""EN""), """")"),"")</f>
        <v/>
      </c>
      <c r="E355" s="6" t="str">
        <f>IFERROR(__xludf.DUMMYFUNCTION("IF(P355&lt;&gt;"""", GOOGLETRANSLATE(P355, ""RO"", ""EN""), """")"),"The answer coincides")</f>
        <v>The answer coincides</v>
      </c>
      <c r="F355" s="5" t="str">
        <f>IFERROR(__xludf.DUMMYFUNCTION("IF(Q355&lt;&gt;"""", GOOGLETRANSLATE(Q355, ""RO"", ""EN""), """")"),"The answer does not coincide")</f>
        <v>The answer does not coincide</v>
      </c>
      <c r="G355" s="5" t="str">
        <f>IFERROR(__xludf.DUMMYFUNCTION("IF(R355&lt;&gt;"""", GOOGLETRANSLATE(R355, ""RO"", ""EN""), """")"),"Refusal")</f>
        <v>Refusal</v>
      </c>
      <c r="H355" s="5" t="str">
        <f>IFERROR(__xludf.DUMMYFUNCTION("IF(U355&lt;&gt;"""", GOOGLETRANSLATE(U355, ""RO"", ""EN""), """")"),"")</f>
        <v/>
      </c>
      <c r="I355" s="5" t="str">
        <f>IFERROR(__xludf.DUMMYFUNCTION("IF(V355&lt;&gt;"""", GOOGLETRANSLATE(V355, ""RO"", ""EN""), """")"),"")</f>
        <v/>
      </c>
      <c r="J355" s="5" t="str">
        <f>IFERROR(__xludf.DUMMYFUNCTION("IF(W355&lt;&gt;"""", GOOGLETRANSLATE(W355, ""RO"", ""EN""), """")"),"")</f>
        <v/>
      </c>
      <c r="K355" s="5" t="str">
        <f>IFERROR(__xludf.DUMMYFUNCTION("IF(X355&lt;&gt;"""", GOOGLETRANSLATE(X355, ""RO"", ""EN""), """")"),"")</f>
        <v/>
      </c>
      <c r="L355" s="5" t="str">
        <f>IFERROR(__xludf.DUMMYFUNCTION("IF(S355&lt;&gt;"""", GOOGLETRANSLATE(S355, ""RO"", ""EN""), """")"),"")</f>
        <v/>
      </c>
      <c r="M355" s="5" t="str">
        <f>IFERROR(__xludf.DUMMYFUNCTION("IF(T355&lt;&gt;"""", GOOGLETRANSLATE(T355, ""RO"", ""EN""), """")"),"")</f>
        <v/>
      </c>
      <c r="N355" s="5" t="str">
        <f>IFERROR(__xludf.DUMMYFUNCTION("IF(Y355&lt;&gt;"""", GOOGLETRANSLATE(Y355, ""RO"", ""EN""), """")"),"")</f>
        <v/>
      </c>
      <c r="P355" s="4" t="s">
        <v>1141</v>
      </c>
      <c r="Q355" s="4" t="s">
        <v>1142</v>
      </c>
      <c r="R355" s="4" t="s">
        <v>739</v>
      </c>
    </row>
    <row r="356" ht="15.75" customHeight="1">
      <c r="A356" s="4" t="s">
        <v>1143</v>
      </c>
      <c r="B356" s="4" t="s">
        <v>1144</v>
      </c>
      <c r="C356" s="4" t="str">
        <f>IFERROR(__xludf.DUMMYFUNCTION("GOOGLETRANSLATE(B356, ""RO"", ""EN"")"),"What year were you born?")</f>
        <v>What year were you born?</v>
      </c>
      <c r="D356" s="5" t="str">
        <f>IFERROR(__xludf.DUMMYFUNCTION("IF(O356&lt;&gt;"""", GOOGLETRANSLATE(O356, ""RO"", ""EN""), """")"),"Refusal")</f>
        <v>Refusal</v>
      </c>
      <c r="E356" s="6" t="str">
        <f>IFERROR(__xludf.DUMMYFUNCTION("IF(P356&lt;&gt;"""", GOOGLETRANSLATE(P356, ""RO"", ""EN""), """")"),"")</f>
        <v/>
      </c>
      <c r="F356" s="5" t="str">
        <f>IFERROR(__xludf.DUMMYFUNCTION("IF(Q356&lt;&gt;"""", GOOGLETRANSLATE(Q356, ""RO"", ""EN""), """")"),"")</f>
        <v/>
      </c>
      <c r="G356" s="5" t="str">
        <f>IFERROR(__xludf.DUMMYFUNCTION("IF(R356&lt;&gt;"""", GOOGLETRANSLATE(R356, ""RO"", ""EN""), """")"),"")</f>
        <v/>
      </c>
      <c r="H356" s="5" t="str">
        <f>IFERROR(__xludf.DUMMYFUNCTION("IF(U356&lt;&gt;"""", GOOGLETRANSLATE(U356, ""RO"", ""EN""), """")"),"")</f>
        <v/>
      </c>
      <c r="I356" s="5" t="str">
        <f>IFERROR(__xludf.DUMMYFUNCTION("IF(V356&lt;&gt;"""", GOOGLETRANSLATE(V356, ""RO"", ""EN""), """")"),"")</f>
        <v/>
      </c>
      <c r="J356" s="5" t="str">
        <f>IFERROR(__xludf.DUMMYFUNCTION("IF(W356&lt;&gt;"""", GOOGLETRANSLATE(W356, ""RO"", ""EN""), """")"),"")</f>
        <v/>
      </c>
      <c r="K356" s="5" t="str">
        <f>IFERROR(__xludf.DUMMYFUNCTION("IF(X356&lt;&gt;"""", GOOGLETRANSLATE(X356, ""RO"", ""EN""), """")"),"")</f>
        <v/>
      </c>
      <c r="L356" s="5" t="str">
        <f>IFERROR(__xludf.DUMMYFUNCTION("IF(S356&lt;&gt;"""", GOOGLETRANSLATE(S356, ""RO"", ""EN""), """")"),"")</f>
        <v/>
      </c>
      <c r="M356" s="5" t="str">
        <f>IFERROR(__xludf.DUMMYFUNCTION("IF(T356&lt;&gt;"""", GOOGLETRANSLATE(T356, ""RO"", ""EN""), """")"),"")</f>
        <v/>
      </c>
      <c r="N356" s="5" t="str">
        <f>IFERROR(__xludf.DUMMYFUNCTION("IF(Y356&lt;&gt;"""", GOOGLETRANSLATE(Y356, ""RO"", ""EN""), """")"),"")</f>
        <v/>
      </c>
      <c r="O356" s="4" t="s">
        <v>739</v>
      </c>
    </row>
    <row r="357" ht="15.75" customHeight="1">
      <c r="A357" s="4" t="s">
        <v>1145</v>
      </c>
      <c r="B357" s="4" t="s">
        <v>1146</v>
      </c>
      <c r="C357" s="4" t="str">
        <f>IFERROR(__xludf.DUMMYFUNCTION("GOOGLETRANSLATE(B357, ""RO"", ""EN"")"),"... Politics generally")</f>
        <v>... Politics generally</v>
      </c>
      <c r="D357" s="5" t="str">
        <f>IFERROR(__xludf.DUMMYFUNCTION("IF(O357&lt;&gt;"""", GOOGLETRANSLATE(O357, ""RO"", ""EN""), """")"),"not at all interested")</f>
        <v>not at all interested</v>
      </c>
      <c r="E357" s="6" t="str">
        <f>IFERROR(__xludf.DUMMYFUNCTION("IF(P357&lt;&gt;"""", GOOGLETRANSLATE(P357, ""RO"", ""EN""), """")"),"little interested")</f>
        <v>little interested</v>
      </c>
      <c r="F357" s="5" t="str">
        <f>IFERROR(__xludf.DUMMYFUNCTION("IF(Q357&lt;&gt;"""", GOOGLETRANSLATE(Q357, ""RO"", ""EN""), """")"),"quite interested")</f>
        <v>quite interested</v>
      </c>
      <c r="G357" s="5" t="str">
        <f>IFERROR(__xludf.DUMMYFUNCTION("IF(R357&lt;&gt;"""", GOOGLETRANSLATE(R357, ""RO"", ""EN""), """")"),"Very interested")</f>
        <v>Very interested</v>
      </c>
      <c r="H357" s="5" t="str">
        <f>IFERROR(__xludf.DUMMYFUNCTION("IF(U357&lt;&gt;"""", GOOGLETRANSLATE(U357, ""RO"", ""EN""), """")"),"")</f>
        <v/>
      </c>
      <c r="I357" s="5" t="str">
        <f>IFERROR(__xludf.DUMMYFUNCTION("IF(V357&lt;&gt;"""", GOOGLETRANSLATE(V357, ""RO"", ""EN""), """")"),"")</f>
        <v/>
      </c>
      <c r="J357" s="5" t="str">
        <f>IFERROR(__xludf.DUMMYFUNCTION("IF(W357&lt;&gt;"""", GOOGLETRANSLATE(W357, ""RO"", ""EN""), """")"),"")</f>
        <v/>
      </c>
      <c r="K357" s="5" t="str">
        <f>IFERROR(__xludf.DUMMYFUNCTION("IF(X357&lt;&gt;"""", GOOGLETRANSLATE(X357, ""RO"", ""EN""), """")"),"")</f>
        <v/>
      </c>
      <c r="L357" s="5" t="str">
        <f>IFERROR(__xludf.DUMMYFUNCTION("IF(S357&lt;&gt;"""", GOOGLETRANSLATE(S357, ""RO"", ""EN""), """")"),"Ns")</f>
        <v>Ns</v>
      </c>
      <c r="M357" s="5" t="str">
        <f>IFERROR(__xludf.DUMMYFUNCTION("IF(T357&lt;&gt;"""", GOOGLETRANSLATE(T357, ""RO"", ""EN""), """")"),"No.")</f>
        <v>No.</v>
      </c>
      <c r="N357" s="5" t="str">
        <f>IFERROR(__xludf.DUMMYFUNCTION("IF(Y357&lt;&gt;"""", GOOGLETRANSLATE(Y357, ""RO"", ""EN""), """")"),"")</f>
        <v/>
      </c>
      <c r="O357" s="4" t="s">
        <v>1147</v>
      </c>
      <c r="P357" s="4" t="s">
        <v>1148</v>
      </c>
      <c r="Q357" s="4" t="s">
        <v>1149</v>
      </c>
      <c r="R357" s="4" t="s">
        <v>1150</v>
      </c>
      <c r="S357" s="4" t="s">
        <v>103</v>
      </c>
      <c r="T357" s="4" t="s">
        <v>104</v>
      </c>
    </row>
    <row r="358" ht="15.75" customHeight="1">
      <c r="A358" s="4" t="s">
        <v>1151</v>
      </c>
      <c r="B358" s="4" t="s">
        <v>1152</v>
      </c>
      <c r="C358" s="4" t="str">
        <f>IFERROR(__xludf.DUMMYFUNCTION("GOOGLETRANSLATE(B358, ""RO"", ""EN"")"),"... Presidential elections on December 6")</f>
        <v>... Presidential elections on December 6</v>
      </c>
      <c r="D358" s="5" t="str">
        <f>IFERROR(__xludf.DUMMYFUNCTION("IF(O358&lt;&gt;"""", GOOGLETRANSLATE(O358, ""RO"", ""EN""), """")"),"not at all interested")</f>
        <v>not at all interested</v>
      </c>
      <c r="E358" s="6" t="str">
        <f>IFERROR(__xludf.DUMMYFUNCTION("IF(P358&lt;&gt;"""", GOOGLETRANSLATE(P358, ""RO"", ""EN""), """")"),"little interested")</f>
        <v>little interested</v>
      </c>
      <c r="F358" s="5" t="str">
        <f>IFERROR(__xludf.DUMMYFUNCTION("IF(Q358&lt;&gt;"""", GOOGLETRANSLATE(Q358, ""RO"", ""EN""), """")"),"quite interested")</f>
        <v>quite interested</v>
      </c>
      <c r="G358" s="5" t="str">
        <f>IFERROR(__xludf.DUMMYFUNCTION("IF(R358&lt;&gt;"""", GOOGLETRANSLATE(R358, ""RO"", ""EN""), """")"),"Very interested")</f>
        <v>Very interested</v>
      </c>
      <c r="H358" s="5" t="str">
        <f>IFERROR(__xludf.DUMMYFUNCTION("IF(U358&lt;&gt;"""", GOOGLETRANSLATE(U358, ""RO"", ""EN""), """")"),"")</f>
        <v/>
      </c>
      <c r="I358" s="5" t="str">
        <f>IFERROR(__xludf.DUMMYFUNCTION("IF(V358&lt;&gt;"""", GOOGLETRANSLATE(V358, ""RO"", ""EN""), """")"),"")</f>
        <v/>
      </c>
      <c r="J358" s="5" t="str">
        <f>IFERROR(__xludf.DUMMYFUNCTION("IF(W358&lt;&gt;"""", GOOGLETRANSLATE(W358, ""RO"", ""EN""), """")"),"")</f>
        <v/>
      </c>
      <c r="K358" s="5" t="str">
        <f>IFERROR(__xludf.DUMMYFUNCTION("IF(X358&lt;&gt;"""", GOOGLETRANSLATE(X358, ""RO"", ""EN""), """")"),"")</f>
        <v/>
      </c>
      <c r="L358" s="5" t="str">
        <f>IFERROR(__xludf.DUMMYFUNCTION("IF(S358&lt;&gt;"""", GOOGLETRANSLATE(S358, ""RO"", ""EN""), """")"),"Ns")</f>
        <v>Ns</v>
      </c>
      <c r="M358" s="5" t="str">
        <f>IFERROR(__xludf.DUMMYFUNCTION("IF(T358&lt;&gt;"""", GOOGLETRANSLATE(T358, ""RO"", ""EN""), """")"),"No.")</f>
        <v>No.</v>
      </c>
      <c r="N358" s="5" t="str">
        <f>IFERROR(__xludf.DUMMYFUNCTION("IF(Y358&lt;&gt;"""", GOOGLETRANSLATE(Y358, ""RO"", ""EN""), """")"),"")</f>
        <v/>
      </c>
      <c r="O358" s="4" t="s">
        <v>1147</v>
      </c>
      <c r="P358" s="4" t="s">
        <v>1148</v>
      </c>
      <c r="Q358" s="4" t="s">
        <v>1149</v>
      </c>
      <c r="R358" s="4" t="s">
        <v>1150</v>
      </c>
      <c r="S358" s="4" t="s">
        <v>103</v>
      </c>
      <c r="T358" s="4" t="s">
        <v>104</v>
      </c>
    </row>
    <row r="359" ht="15.75" customHeight="1">
      <c r="A359" s="4" t="s">
        <v>1153</v>
      </c>
      <c r="B359" s="4" t="s">
        <v>1154</v>
      </c>
      <c r="C359" s="4" t="str">
        <f>IFERROR(__xludf.DUMMYFUNCTION("GOOGLETRANSLATE(B359, ""RO"", ""EN"")"),"... Referendum results from November 22, 2009")</f>
        <v>... Referendum results from November 22, 2009</v>
      </c>
      <c r="D359" s="5" t="str">
        <f>IFERROR(__xludf.DUMMYFUNCTION("IF(O359&lt;&gt;"""", GOOGLETRANSLATE(O359, ""RO"", ""EN""), """")"),"not at all interested")</f>
        <v>not at all interested</v>
      </c>
      <c r="E359" s="6" t="str">
        <f>IFERROR(__xludf.DUMMYFUNCTION("IF(P359&lt;&gt;"""", GOOGLETRANSLATE(P359, ""RO"", ""EN""), """")"),"little interested")</f>
        <v>little interested</v>
      </c>
      <c r="F359" s="5" t="str">
        <f>IFERROR(__xludf.DUMMYFUNCTION("IF(Q359&lt;&gt;"""", GOOGLETRANSLATE(Q359, ""RO"", ""EN""), """")"),"quite interested")</f>
        <v>quite interested</v>
      </c>
      <c r="G359" s="5" t="str">
        <f>IFERROR(__xludf.DUMMYFUNCTION("IF(R359&lt;&gt;"""", GOOGLETRANSLATE(R359, ""RO"", ""EN""), """")"),"Very interested")</f>
        <v>Very interested</v>
      </c>
      <c r="H359" s="5" t="str">
        <f>IFERROR(__xludf.DUMMYFUNCTION("IF(U359&lt;&gt;"""", GOOGLETRANSLATE(U359, ""RO"", ""EN""), """")"),"")</f>
        <v/>
      </c>
      <c r="I359" s="5" t="str">
        <f>IFERROR(__xludf.DUMMYFUNCTION("IF(V359&lt;&gt;"""", GOOGLETRANSLATE(V359, ""RO"", ""EN""), """")"),"")</f>
        <v/>
      </c>
      <c r="J359" s="5" t="str">
        <f>IFERROR(__xludf.DUMMYFUNCTION("IF(W359&lt;&gt;"""", GOOGLETRANSLATE(W359, ""RO"", ""EN""), """")"),"")</f>
        <v/>
      </c>
      <c r="K359" s="5" t="str">
        <f>IFERROR(__xludf.DUMMYFUNCTION("IF(X359&lt;&gt;"""", GOOGLETRANSLATE(X359, ""RO"", ""EN""), """")"),"")</f>
        <v/>
      </c>
      <c r="L359" s="5" t="str">
        <f>IFERROR(__xludf.DUMMYFUNCTION("IF(S359&lt;&gt;"""", GOOGLETRANSLATE(S359, ""RO"", ""EN""), """")"),"Ns")</f>
        <v>Ns</v>
      </c>
      <c r="M359" s="5" t="str">
        <f>IFERROR(__xludf.DUMMYFUNCTION("IF(T359&lt;&gt;"""", GOOGLETRANSLATE(T359, ""RO"", ""EN""), """")"),"No.")</f>
        <v>No.</v>
      </c>
      <c r="N359" s="5" t="str">
        <f>IFERROR(__xludf.DUMMYFUNCTION("IF(Y359&lt;&gt;"""", GOOGLETRANSLATE(Y359, ""RO"", ""EN""), """")"),"")</f>
        <v/>
      </c>
      <c r="O359" s="4" t="s">
        <v>1147</v>
      </c>
      <c r="P359" s="4" t="s">
        <v>1148</v>
      </c>
      <c r="Q359" s="4" t="s">
        <v>1149</v>
      </c>
      <c r="R359" s="4" t="s">
        <v>1150</v>
      </c>
      <c r="S359" s="4" t="s">
        <v>103</v>
      </c>
      <c r="T359" s="4" t="s">
        <v>104</v>
      </c>
    </row>
    <row r="360" ht="15.75" customHeight="1">
      <c r="A360" s="4" t="s">
        <v>1155</v>
      </c>
      <c r="B360" s="4" t="s">
        <v>219</v>
      </c>
      <c r="C360" s="4" t="str">
        <f>IFERROR(__xludf.DUMMYFUNCTION("GOOGLETRANSLATE(B360, ""RO"", ""EN"")"),"Mircea Geoana")</f>
        <v>Mircea Geoana</v>
      </c>
      <c r="D360" s="5" t="str">
        <f>IFERROR(__xludf.DUMMYFUNCTION("IF(O360&lt;&gt;"""", GOOGLETRANSLATE(O360, ""RO"", ""EN""), """")"),"I do not like it at all")</f>
        <v>I do not like it at all</v>
      </c>
      <c r="E360" s="6" t="str">
        <f>IFERROR(__xludf.DUMMYFUNCTION("IF(P360&lt;&gt;"""", GOOGLETRANSLATE(P360, ""RO"", ""EN""), """")"),"")</f>
        <v/>
      </c>
      <c r="F360" s="5" t="str">
        <f>IFERROR(__xludf.DUMMYFUNCTION("IF(Q360&lt;&gt;"""", GOOGLETRANSLATE(Q360, ""RO"", ""EN""), """")"),"")</f>
        <v/>
      </c>
      <c r="G360" s="5" t="str">
        <f>IFERROR(__xludf.DUMMYFUNCTION("IF(R360&lt;&gt;"""", GOOGLETRANSLATE(R360, ""RO"", ""EN""), """")"),"")</f>
        <v/>
      </c>
      <c r="H360" s="5" t="str">
        <f>IFERROR(__xludf.DUMMYFUNCTION("IF(U360&lt;&gt;"""", GOOGLETRANSLATE(U360, ""RO"", ""EN""), """")"),"")</f>
        <v/>
      </c>
      <c r="I360" s="5" t="str">
        <f>IFERROR(__xludf.DUMMYFUNCTION("IF(V360&lt;&gt;"""", GOOGLETRANSLATE(V360, ""RO"", ""EN""), """")"),"")</f>
        <v/>
      </c>
      <c r="J360" s="5" t="str">
        <f>IFERROR(__xludf.DUMMYFUNCTION("IF(W360&lt;&gt;"""", GOOGLETRANSLATE(W360, ""RO"", ""EN""), """")"),"")</f>
        <v/>
      </c>
      <c r="K360" s="5" t="str">
        <f>IFERROR(__xludf.DUMMYFUNCTION("IF(X360&lt;&gt;"""", GOOGLETRANSLATE(X360, ""RO"", ""EN""), """")"),"")</f>
        <v/>
      </c>
      <c r="L360" s="5" t="str">
        <f>IFERROR(__xludf.DUMMYFUNCTION("IF(S360&lt;&gt;"""", GOOGLETRANSLATE(S360, ""RO"", ""EN""), """")"),"")</f>
        <v/>
      </c>
      <c r="M360" s="5" t="str">
        <f>IFERROR(__xludf.DUMMYFUNCTION("IF(T360&lt;&gt;"""", GOOGLETRANSLATE(T360, ""RO"", ""EN""), """")"),"")</f>
        <v/>
      </c>
      <c r="N360" s="5" t="str">
        <f>IFERROR(__xludf.DUMMYFUNCTION("IF(Y360&lt;&gt;"""", GOOGLETRANSLATE(Y360, ""RO"", ""EN""), """")"),"I really like")</f>
        <v>I really like</v>
      </c>
      <c r="O360" s="4" t="s">
        <v>313</v>
      </c>
      <c r="Y360" s="4" t="s">
        <v>314</v>
      </c>
      <c r="Z360" s="4" t="s">
        <v>240</v>
      </c>
      <c r="AA360" s="4" t="s">
        <v>103</v>
      </c>
      <c r="AB360" s="4" t="s">
        <v>104</v>
      </c>
    </row>
    <row r="361" ht="15.75" customHeight="1">
      <c r="A361" s="4" t="s">
        <v>1156</v>
      </c>
      <c r="B361" s="4" t="s">
        <v>220</v>
      </c>
      <c r="C361" s="4" t="str">
        <f>IFERROR(__xludf.DUMMYFUNCTION("GOOGLETRANSLATE(B361, ""RO"", ""EN"")"),"Crin Antonescu")</f>
        <v>Crin Antonescu</v>
      </c>
      <c r="D361" s="5" t="str">
        <f>IFERROR(__xludf.DUMMYFUNCTION("IF(O361&lt;&gt;"""", GOOGLETRANSLATE(O361, ""RO"", ""EN""), """")"),"I do not like it at all")</f>
        <v>I do not like it at all</v>
      </c>
      <c r="E361" s="6" t="str">
        <f>IFERROR(__xludf.DUMMYFUNCTION("IF(P361&lt;&gt;"""", GOOGLETRANSLATE(P361, ""RO"", ""EN""), """")"),"")</f>
        <v/>
      </c>
      <c r="F361" s="5" t="str">
        <f>IFERROR(__xludf.DUMMYFUNCTION("IF(Q361&lt;&gt;"""", GOOGLETRANSLATE(Q361, ""RO"", ""EN""), """")"),"")</f>
        <v/>
      </c>
      <c r="G361" s="5" t="str">
        <f>IFERROR(__xludf.DUMMYFUNCTION("IF(R361&lt;&gt;"""", GOOGLETRANSLATE(R361, ""RO"", ""EN""), """")"),"")</f>
        <v/>
      </c>
      <c r="H361" s="5" t="str">
        <f>IFERROR(__xludf.DUMMYFUNCTION("IF(U361&lt;&gt;"""", GOOGLETRANSLATE(U361, ""RO"", ""EN""), """")"),"")</f>
        <v/>
      </c>
      <c r="I361" s="5" t="str">
        <f>IFERROR(__xludf.DUMMYFUNCTION("IF(V361&lt;&gt;"""", GOOGLETRANSLATE(V361, ""RO"", ""EN""), """")"),"")</f>
        <v/>
      </c>
      <c r="J361" s="5" t="str">
        <f>IFERROR(__xludf.DUMMYFUNCTION("IF(W361&lt;&gt;"""", GOOGLETRANSLATE(W361, ""RO"", ""EN""), """")"),"")</f>
        <v/>
      </c>
      <c r="K361" s="5" t="str">
        <f>IFERROR(__xludf.DUMMYFUNCTION("IF(X361&lt;&gt;"""", GOOGLETRANSLATE(X361, ""RO"", ""EN""), """")"),"")</f>
        <v/>
      </c>
      <c r="L361" s="5" t="str">
        <f>IFERROR(__xludf.DUMMYFUNCTION("IF(S361&lt;&gt;"""", GOOGLETRANSLATE(S361, ""RO"", ""EN""), """")"),"")</f>
        <v/>
      </c>
      <c r="M361" s="5" t="str">
        <f>IFERROR(__xludf.DUMMYFUNCTION("IF(T361&lt;&gt;"""", GOOGLETRANSLATE(T361, ""RO"", ""EN""), """")"),"")</f>
        <v/>
      </c>
      <c r="N361" s="5" t="str">
        <f>IFERROR(__xludf.DUMMYFUNCTION("IF(Y361&lt;&gt;"""", GOOGLETRANSLATE(Y361, ""RO"", ""EN""), """")"),"I really like")</f>
        <v>I really like</v>
      </c>
      <c r="O361" s="4" t="s">
        <v>313</v>
      </c>
      <c r="Y361" s="4" t="s">
        <v>314</v>
      </c>
      <c r="Z361" s="4" t="s">
        <v>240</v>
      </c>
      <c r="AA361" s="4" t="s">
        <v>103</v>
      </c>
      <c r="AB361" s="4" t="s">
        <v>104</v>
      </c>
    </row>
    <row r="362" ht="15.75" customHeight="1">
      <c r="A362" s="4" t="s">
        <v>1157</v>
      </c>
      <c r="B362" s="4" t="s">
        <v>221</v>
      </c>
      <c r="C362" s="4" t="str">
        <f>IFERROR(__xludf.DUMMYFUNCTION("GOOGLETRANSLATE(B362, ""RO"", ""EN"")"),"Traian Basescu")</f>
        <v>Traian Basescu</v>
      </c>
      <c r="D362" s="5" t="str">
        <f>IFERROR(__xludf.DUMMYFUNCTION("IF(O362&lt;&gt;"""", GOOGLETRANSLATE(O362, ""RO"", ""EN""), """")"),"I do not like it at all")</f>
        <v>I do not like it at all</v>
      </c>
      <c r="E362" s="6" t="str">
        <f>IFERROR(__xludf.DUMMYFUNCTION("IF(P362&lt;&gt;"""", GOOGLETRANSLATE(P362, ""RO"", ""EN""), """")"),"")</f>
        <v/>
      </c>
      <c r="F362" s="5" t="str">
        <f>IFERROR(__xludf.DUMMYFUNCTION("IF(Q362&lt;&gt;"""", GOOGLETRANSLATE(Q362, ""RO"", ""EN""), """")"),"")</f>
        <v/>
      </c>
      <c r="G362" s="5" t="str">
        <f>IFERROR(__xludf.DUMMYFUNCTION("IF(R362&lt;&gt;"""", GOOGLETRANSLATE(R362, ""RO"", ""EN""), """")"),"")</f>
        <v/>
      </c>
      <c r="H362" s="5" t="str">
        <f>IFERROR(__xludf.DUMMYFUNCTION("IF(U362&lt;&gt;"""", GOOGLETRANSLATE(U362, ""RO"", ""EN""), """")"),"")</f>
        <v/>
      </c>
      <c r="I362" s="5" t="str">
        <f>IFERROR(__xludf.DUMMYFUNCTION("IF(V362&lt;&gt;"""", GOOGLETRANSLATE(V362, ""RO"", ""EN""), """")"),"")</f>
        <v/>
      </c>
      <c r="J362" s="5" t="str">
        <f>IFERROR(__xludf.DUMMYFUNCTION("IF(W362&lt;&gt;"""", GOOGLETRANSLATE(W362, ""RO"", ""EN""), """")"),"")</f>
        <v/>
      </c>
      <c r="K362" s="5" t="str">
        <f>IFERROR(__xludf.DUMMYFUNCTION("IF(X362&lt;&gt;"""", GOOGLETRANSLATE(X362, ""RO"", ""EN""), """")"),"")</f>
        <v/>
      </c>
      <c r="L362" s="5" t="str">
        <f>IFERROR(__xludf.DUMMYFUNCTION("IF(S362&lt;&gt;"""", GOOGLETRANSLATE(S362, ""RO"", ""EN""), """")"),"")</f>
        <v/>
      </c>
      <c r="M362" s="5" t="str">
        <f>IFERROR(__xludf.DUMMYFUNCTION("IF(T362&lt;&gt;"""", GOOGLETRANSLATE(T362, ""RO"", ""EN""), """")"),"")</f>
        <v/>
      </c>
      <c r="N362" s="5" t="str">
        <f>IFERROR(__xludf.DUMMYFUNCTION("IF(Y362&lt;&gt;"""", GOOGLETRANSLATE(Y362, ""RO"", ""EN""), """")"),"I really like")</f>
        <v>I really like</v>
      </c>
      <c r="O362" s="4" t="s">
        <v>313</v>
      </c>
      <c r="Y362" s="4" t="s">
        <v>314</v>
      </c>
      <c r="Z362" s="4" t="s">
        <v>240</v>
      </c>
      <c r="AA362" s="4" t="s">
        <v>103</v>
      </c>
      <c r="AB362" s="4" t="s">
        <v>104</v>
      </c>
    </row>
    <row r="363" ht="15.75" customHeight="1">
      <c r="A363" s="4" t="s">
        <v>1158</v>
      </c>
      <c r="B363" s="4" t="s">
        <v>1159</v>
      </c>
      <c r="C363" s="4" t="str">
        <f>IFERROR(__xludf.DUMMYFUNCTION("GOOGLETRANSLATE(B363, ""RO"", ""EN"")"),"Many people were missing from the presidential elections on November 22, 2009, while others voted. Did you vote on these choices?")</f>
        <v>Many people were missing from the presidential elections on November 22, 2009, while others voted. Did you vote on these choices?</v>
      </c>
      <c r="D363" s="5" t="str">
        <f>IFERROR(__xludf.DUMMYFUNCTION("IF(O363&lt;&gt;"""", GOOGLETRANSLATE(O363, ""RO"", ""EN""), """")"),"")</f>
        <v/>
      </c>
      <c r="E363" s="6" t="str">
        <f>IFERROR(__xludf.DUMMYFUNCTION("IF(P363&lt;&gt;"""", GOOGLETRANSLATE(P363, ""RO"", ""EN""), """")"),"Yes I voted")</f>
        <v>Yes I voted</v>
      </c>
      <c r="F363" s="5" t="str">
        <f>IFERROR(__xludf.DUMMYFUNCTION("IF(Q363&lt;&gt;"""", GOOGLETRANSLATE(Q363, ""RO"", ""EN""), """")"),"No, I didn't vote")</f>
        <v>No, I didn't vote</v>
      </c>
      <c r="G363" s="5" t="str">
        <f>IFERROR(__xludf.DUMMYFUNCTION("IF(R363&lt;&gt;"""", GOOGLETRANSLATE(R363, ""RO"", ""EN""), """")"),"")</f>
        <v/>
      </c>
      <c r="H363" s="5" t="str">
        <f>IFERROR(__xludf.DUMMYFUNCTION("IF(U363&lt;&gt;"""", GOOGLETRANSLATE(U363, ""RO"", ""EN""), """")"),"")</f>
        <v/>
      </c>
      <c r="I363" s="5" t="str">
        <f>IFERROR(__xludf.DUMMYFUNCTION("IF(V363&lt;&gt;"""", GOOGLETRANSLATE(V363, ""RO"", ""EN""), """")"),"")</f>
        <v/>
      </c>
      <c r="J363" s="5" t="str">
        <f>IFERROR(__xludf.DUMMYFUNCTION("IF(W363&lt;&gt;"""", GOOGLETRANSLATE(W363, ""RO"", ""EN""), """")"),"")</f>
        <v/>
      </c>
      <c r="K363" s="5" t="str">
        <f>IFERROR(__xludf.DUMMYFUNCTION("IF(X363&lt;&gt;"""", GOOGLETRANSLATE(X363, ""RO"", ""EN""), """")"),"")</f>
        <v/>
      </c>
      <c r="L363" s="5" t="str">
        <f>IFERROR(__xludf.DUMMYFUNCTION("IF(S363&lt;&gt;"""", GOOGLETRANSLATE(S363, ""RO"", ""EN""), """")"),"Ns")</f>
        <v>Ns</v>
      </c>
      <c r="M363" s="5" t="str">
        <f>IFERROR(__xludf.DUMMYFUNCTION("IF(T363&lt;&gt;"""", GOOGLETRANSLATE(T363, ""RO"", ""EN""), """")"),"No.")</f>
        <v>No.</v>
      </c>
      <c r="N363" s="5" t="str">
        <f>IFERROR(__xludf.DUMMYFUNCTION("IF(Y363&lt;&gt;"""", GOOGLETRANSLATE(Y363, ""RO"", ""EN""), """")"),"")</f>
        <v/>
      </c>
      <c r="P363" s="4" t="s">
        <v>1160</v>
      </c>
      <c r="Q363" s="4" t="s">
        <v>1161</v>
      </c>
      <c r="S363" s="4" t="s">
        <v>103</v>
      </c>
      <c r="T363" s="4" t="s">
        <v>104</v>
      </c>
    </row>
    <row r="364" ht="15.75" customHeight="1">
      <c r="A364" s="4" t="s">
        <v>1162</v>
      </c>
      <c r="B364" s="4" t="s">
        <v>1163</v>
      </c>
      <c r="C364" s="4" t="str">
        <f>IFERROR(__xludf.DUMMYFUNCTION("GOOGLETRANSLATE(B364, ""RO"", ""EN"")"),"At the presidential elections of November 22, 2009, round 1 about half of the citizens of Romania were not voting. Which of the trace ...")</f>
        <v>At the presidential elections of November 22, 2009, round 1 about half of the citizens of Romania were not voting. Which of the trace ...</v>
      </c>
      <c r="D364" s="5" t="str">
        <f>IFERROR(__xludf.DUMMYFUNCTION("IF(O364&lt;&gt;"""", GOOGLETRANSLATE(O364, ""RO"", ""EN""), """")"),"")</f>
        <v/>
      </c>
      <c r="E364" s="6" t="str">
        <f>IFERROR(__xludf.DUMMYFUNCTION("IF(P364&lt;&gt;"""", GOOGLETRANSLATE(P364, ""RO"", ""EN""), """")"),"Sure I voted")</f>
        <v>Sure I voted</v>
      </c>
      <c r="F364" s="5" t="str">
        <f>IFERROR(__xludf.DUMMYFUNCTION("IF(Q364&lt;&gt;"""", GOOGLETRANSLATE(Q364, ""RO"", ""EN""), """")"),"I usually vote but then I didn't vote")</f>
        <v>I usually vote but then I didn't vote</v>
      </c>
      <c r="G364" s="5" t="str">
        <f>IFERROR(__xludf.DUMMYFUNCTION("IF(R364&lt;&gt;"""", GOOGLETRANSLATE(R364, ""RO"", ""EN""), """")"),"I thought of voting but I didn't vote")</f>
        <v>I thought of voting but I didn't vote</v>
      </c>
      <c r="H364" s="5" t="str">
        <f>IFERROR(__xludf.DUMMYFUNCTION("IF(U364&lt;&gt;"""", GOOGLETRANSLATE(U364, ""RO"", ""EN""), """")"),"I did not vote at the November presidential elections")</f>
        <v>I did not vote at the November presidential elections</v>
      </c>
      <c r="I364" s="5" t="str">
        <f>IFERROR(__xludf.DUMMYFUNCTION("IF(V364&lt;&gt;"""", GOOGLETRANSLATE(V364, ""RO"", ""EN""), """")"),"")</f>
        <v/>
      </c>
      <c r="J364" s="5" t="str">
        <f>IFERROR(__xludf.DUMMYFUNCTION("IF(W364&lt;&gt;"""", GOOGLETRANSLATE(W364, ""RO"", ""EN""), """")"),"")</f>
        <v/>
      </c>
      <c r="K364" s="5" t="str">
        <f>IFERROR(__xludf.DUMMYFUNCTION("IF(X364&lt;&gt;"""", GOOGLETRANSLATE(X364, ""RO"", ""EN""), """")"),"")</f>
        <v/>
      </c>
      <c r="L364" s="5" t="str">
        <f>IFERROR(__xludf.DUMMYFUNCTION("IF(S364&lt;&gt;"""", GOOGLETRANSLATE(S364, ""RO"", ""EN""), """")"),"Ns")</f>
        <v>Ns</v>
      </c>
      <c r="M364" s="5" t="str">
        <f>IFERROR(__xludf.DUMMYFUNCTION("IF(T364&lt;&gt;"""", GOOGLETRANSLATE(T364, ""RO"", ""EN""), """")"),"No.")</f>
        <v>No.</v>
      </c>
      <c r="N364" s="5" t="str">
        <f>IFERROR(__xludf.DUMMYFUNCTION("IF(Y364&lt;&gt;"""", GOOGLETRANSLATE(Y364, ""RO"", ""EN""), """")"),"")</f>
        <v/>
      </c>
      <c r="P364" s="4" t="s">
        <v>1164</v>
      </c>
      <c r="Q364" s="4" t="s">
        <v>1165</v>
      </c>
      <c r="R364" s="4" t="s">
        <v>1166</v>
      </c>
      <c r="S364" s="4" t="s">
        <v>103</v>
      </c>
      <c r="T364" s="4" t="s">
        <v>104</v>
      </c>
      <c r="U364" s="4" t="s">
        <v>1167</v>
      </c>
    </row>
    <row r="365" ht="15.75" customHeight="1">
      <c r="A365" s="4" t="s">
        <v>1168</v>
      </c>
      <c r="B365" s="4" t="s">
        <v>1169</v>
      </c>
      <c r="C365" s="4" t="str">
        <f>IFERROR(__xludf.DUMMYFUNCTION("GOOGLETRANSLATE(B365, ""RO"", ""EN"")"),"Was voting in round 1")</f>
        <v>Was voting in round 1</v>
      </c>
      <c r="D365" s="5" t="str">
        <f>IFERROR(__xludf.DUMMYFUNCTION("IF(O365&lt;&gt;"""", GOOGLETRANSLATE(O365, ""RO"", ""EN""), """")"),"")</f>
        <v/>
      </c>
      <c r="E365" s="6" t="str">
        <f>IFERROR(__xludf.DUMMYFUNCTION("IF(P365&lt;&gt;"""", GOOGLETRANSLATE(P365, ""RO"", ""EN""), """")"),"Yes")</f>
        <v>Yes</v>
      </c>
      <c r="F365" s="5" t="str">
        <f>IFERROR(__xludf.DUMMYFUNCTION("IF(Q365&lt;&gt;"""", GOOGLETRANSLATE(Q365, ""RO"", ""EN""), """")"),"not")</f>
        <v>not</v>
      </c>
      <c r="G365" s="5" t="str">
        <f>IFERROR(__xludf.DUMMYFUNCTION("IF(R365&lt;&gt;"""", GOOGLETRANSLATE(R365, ""RO"", ""EN""), """")"),"")</f>
        <v/>
      </c>
      <c r="H365" s="5" t="str">
        <f>IFERROR(__xludf.DUMMYFUNCTION("IF(U365&lt;&gt;"""", GOOGLETRANSLATE(U365, ""RO"", ""EN""), """")"),"")</f>
        <v/>
      </c>
      <c r="I365" s="5" t="str">
        <f>IFERROR(__xludf.DUMMYFUNCTION("IF(V365&lt;&gt;"""", GOOGLETRANSLATE(V365, ""RO"", ""EN""), """")"),"")</f>
        <v/>
      </c>
      <c r="J365" s="5" t="str">
        <f>IFERROR(__xludf.DUMMYFUNCTION("IF(W365&lt;&gt;"""", GOOGLETRANSLATE(W365, ""RO"", ""EN""), """")"),"")</f>
        <v/>
      </c>
      <c r="K365" s="5" t="str">
        <f>IFERROR(__xludf.DUMMYFUNCTION("IF(X365&lt;&gt;"""", GOOGLETRANSLATE(X365, ""RO"", ""EN""), """")"),"")</f>
        <v/>
      </c>
      <c r="L365" s="5" t="str">
        <f>IFERROR(__xludf.DUMMYFUNCTION("IF(S365&lt;&gt;"""", GOOGLETRANSLATE(S365, ""RO"", ""EN""), """")"),"")</f>
        <v/>
      </c>
      <c r="M365" s="5" t="str">
        <f>IFERROR(__xludf.DUMMYFUNCTION("IF(T365&lt;&gt;"""", GOOGLETRANSLATE(T365, ""RO"", ""EN""), """")"),"No.")</f>
        <v>No.</v>
      </c>
      <c r="N365" s="5" t="str">
        <f>IFERROR(__xludf.DUMMYFUNCTION("IF(Y365&lt;&gt;"""", GOOGLETRANSLATE(Y365, ""RO"", ""EN""), """")"),"")</f>
        <v/>
      </c>
      <c r="P365" s="4" t="s">
        <v>77</v>
      </c>
      <c r="Q365" s="4" t="s">
        <v>76</v>
      </c>
      <c r="T365" s="4" t="s">
        <v>104</v>
      </c>
    </row>
    <row r="366" ht="15.75" customHeight="1">
      <c r="A366" s="4" t="s">
        <v>1170</v>
      </c>
      <c r="B366" s="4" t="s">
        <v>1171</v>
      </c>
      <c r="C366" s="4" t="str">
        <f>IFERROR(__xludf.DUMMYFUNCTION("GOOGLETRANSLATE(B366, ""RO"", ""EN"")"),"What is the candidate with whom you voted in the presidential elections in round 1?")</f>
        <v>What is the candidate with whom you voted in the presidential elections in round 1?</v>
      </c>
      <c r="D366" s="5" t="str">
        <f>IFERROR(__xludf.DUMMYFUNCTION("IF(O366&lt;&gt;"""", GOOGLETRANSLATE(O366, ""RO"", ""EN""), """")"),"")</f>
        <v/>
      </c>
      <c r="E366" s="6" t="str">
        <f>IFERROR(__xludf.DUMMYFUNCTION("IF(P366&lt;&gt;"""", GOOGLETRANSLATE(P366, ""RO"", ""EN""), """")"),"Mircea Geoana")</f>
        <v>Mircea Geoana</v>
      </c>
      <c r="F366" s="5" t="str">
        <f>IFERROR(__xludf.DUMMYFUNCTION("IF(Q366&lt;&gt;"""", GOOGLETRANSLATE(Q366, ""RO"", ""EN""), """")"),"Crin Antonescu")</f>
        <v>Crin Antonescu</v>
      </c>
      <c r="G366" s="5" t="str">
        <f>IFERROR(__xludf.DUMMYFUNCTION("IF(R366&lt;&gt;"""", GOOGLETRANSLATE(R366, ""RO"", ""EN""), """")"),"Traian Basescu")</f>
        <v>Traian Basescu</v>
      </c>
      <c r="H366" s="5" t="str">
        <f>IFERROR(__xludf.DUMMYFUNCTION("IF(U366&lt;&gt;"""", GOOGLETRANSLATE(U366, ""RO"", ""EN""), """")"),"Sorin Oprescu")</f>
        <v>Sorin Oprescu</v>
      </c>
      <c r="I366" s="5" t="str">
        <f>IFERROR(__xludf.DUMMYFUNCTION("IF(V366&lt;&gt;"""", GOOGLETRANSLATE(V366, ""RO"", ""EN""), """")"),"Corneliu Vadim Tudor")</f>
        <v>Corneliu Vadim Tudor</v>
      </c>
      <c r="J366" s="5" t="str">
        <f>IFERROR(__xludf.DUMMYFUNCTION("IF(W366&lt;&gt;"""", GOOGLETRANSLATE(W366, ""RO"", ""EN""), """")"),"Kelemen Hunor")</f>
        <v>Kelemen Hunor</v>
      </c>
      <c r="K366" s="5" t="str">
        <f>IFERROR(__xludf.DUMMYFUNCTION("IF(X366&lt;&gt;"""", GOOGLETRANSLATE(X366, ""RO"", ""EN""), """")"),"George Becali")</f>
        <v>George Becali</v>
      </c>
      <c r="L366" s="5" t="str">
        <f>IFERROR(__xludf.DUMMYFUNCTION("IF(S366&lt;&gt;"""", GOOGLETRANSLATE(S366, ""RO"", ""EN""), """")"),"Another candidate")</f>
        <v>Another candidate</v>
      </c>
      <c r="M366" s="5" t="str">
        <f>IFERROR(__xludf.DUMMYFUNCTION("IF(T366&lt;&gt;"""", GOOGLETRANSLATE(T366, ""RO"", ""EN""), """")"),"")</f>
        <v/>
      </c>
      <c r="N366" s="5" t="str">
        <f>IFERROR(__xludf.DUMMYFUNCTION("IF(Y366&lt;&gt;"""", GOOGLETRANSLATE(Y366, ""RO"", ""EN""), """")"),"")</f>
        <v/>
      </c>
      <c r="P366" s="4" t="s">
        <v>219</v>
      </c>
      <c r="Q366" s="4" t="s">
        <v>220</v>
      </c>
      <c r="R366" s="4" t="s">
        <v>221</v>
      </c>
      <c r="S366" s="4" t="s">
        <v>485</v>
      </c>
      <c r="U366" s="4" t="s">
        <v>223</v>
      </c>
      <c r="V366" s="4" t="s">
        <v>224</v>
      </c>
      <c r="W366" s="4" t="s">
        <v>225</v>
      </c>
      <c r="X366" s="4" t="s">
        <v>226</v>
      </c>
      <c r="Z366" s="4" t="s">
        <v>1172</v>
      </c>
      <c r="AA366" s="4" t="s">
        <v>214</v>
      </c>
      <c r="AB366" s="4" t="s">
        <v>215</v>
      </c>
      <c r="AC366" s="4" t="s">
        <v>488</v>
      </c>
      <c r="AD366" s="4" t="s">
        <v>1173</v>
      </c>
    </row>
    <row r="367" ht="15.75" customHeight="1">
      <c r="A367" s="4" t="s">
        <v>1174</v>
      </c>
      <c r="B367" s="4" t="s">
        <v>1175</v>
      </c>
      <c r="C367" s="4" t="str">
        <f>IFERROR(__xludf.DUMMYFUNCTION("GOOGLETRANSLATE(B367, ""RO"", ""EN"")"),"When did you decide with which candidate to vote for these elections?")</f>
        <v>When did you decide with which candidate to vote for these elections?</v>
      </c>
      <c r="D367" s="5" t="str">
        <f>IFERROR(__xludf.DUMMYFUNCTION("IF(O367&lt;&gt;"""", GOOGLETRANSLATE(O367, ""RO"", ""EN""), """")"),"")</f>
        <v/>
      </c>
      <c r="E367" s="6" t="str">
        <f>IFERROR(__xludf.DUMMYFUNCTION("IF(P367&lt;&gt;"""", GOOGLETRANSLATE(P367, ""RO"", ""EN""), """")"),"before the election campaign")</f>
        <v>before the election campaign</v>
      </c>
      <c r="F367" s="5" t="str">
        <f>IFERROR(__xludf.DUMMYFUNCTION("IF(Q367&lt;&gt;"""", GOOGLETRANSLATE(Q367, ""RO"", ""EN""), """")"),"In the election campaign in the last month")</f>
        <v>In the election campaign in the last month</v>
      </c>
      <c r="G367" s="5" t="str">
        <f>IFERROR(__xludf.DUMMYFUNCTION("IF(R367&lt;&gt;"""", GOOGLETRANSLATE(R367, ""RO"", ""EN""), """")"),"In the election campaign in the last week")</f>
        <v>In the election campaign in the last week</v>
      </c>
      <c r="H367" s="5" t="str">
        <f>IFERROR(__xludf.DUMMYFUNCTION("IF(U367&lt;&gt;"""", GOOGLETRANSLATE(U367, ""RO"", ""EN""), """")"),"In the election campaign on voting day")</f>
        <v>In the election campaign on voting day</v>
      </c>
      <c r="I367" s="5" t="str">
        <f>IFERROR(__xludf.DUMMYFUNCTION("IF(V367&lt;&gt;"""", GOOGLETRANSLATE(V367, ""RO"", ""EN""), """")"),"")</f>
        <v/>
      </c>
      <c r="J367" s="5" t="str">
        <f>IFERROR(__xludf.DUMMYFUNCTION("IF(W367&lt;&gt;"""", GOOGLETRANSLATE(W367, ""RO"", ""EN""), """")"),"")</f>
        <v/>
      </c>
      <c r="K367" s="5" t="str">
        <f>IFERROR(__xludf.DUMMYFUNCTION("IF(X367&lt;&gt;"""", GOOGLETRANSLATE(X367, ""RO"", ""EN""), """")"),"Nc")</f>
        <v>Nc</v>
      </c>
      <c r="L367" s="5" t="str">
        <f>IFERROR(__xludf.DUMMYFUNCTION("IF(S367&lt;&gt;"""", GOOGLETRANSLATE(S367, ""RO"", ""EN""), """")"),"Ns")</f>
        <v>Ns</v>
      </c>
      <c r="M367" s="5" t="str">
        <f>IFERROR(__xludf.DUMMYFUNCTION("IF(T367&lt;&gt;"""", GOOGLETRANSLATE(T367, ""RO"", ""EN""), """")"),"No.")</f>
        <v>No.</v>
      </c>
      <c r="N367" s="5" t="str">
        <f>IFERROR(__xludf.DUMMYFUNCTION("IF(Y367&lt;&gt;"""", GOOGLETRANSLATE(Y367, ""RO"", ""EN""), """")"),"")</f>
        <v/>
      </c>
      <c r="P367" s="4" t="s">
        <v>1176</v>
      </c>
      <c r="Q367" s="4" t="s">
        <v>1177</v>
      </c>
      <c r="R367" s="4" t="s">
        <v>1178</v>
      </c>
      <c r="S367" s="4" t="s">
        <v>103</v>
      </c>
      <c r="T367" s="4" t="s">
        <v>104</v>
      </c>
      <c r="U367" s="4" t="s">
        <v>1179</v>
      </c>
      <c r="X367" s="4" t="s">
        <v>177</v>
      </c>
    </row>
    <row r="368" ht="15.75" customHeight="1">
      <c r="A368" s="4" t="s">
        <v>1180</v>
      </c>
      <c r="B368" s="4" t="s">
        <v>1181</v>
      </c>
      <c r="C368" s="4" t="str">
        <f>IFERROR(__xludf.DUMMYFUNCTION("GOOGLETRANSLATE(B368, ""RO"", ""EN"")"),"You followed or discussed with someone about the electoral debate on the last campaign day, on Friday, November 20, between Traian Basescu, ...")</f>
        <v>You followed or discussed with someone about the electoral debate on the last campaign day, on Friday, November 20, between Traian Basescu, ...</v>
      </c>
      <c r="D368" s="5" t="str">
        <f>IFERROR(__xludf.DUMMYFUNCTION("IF(O368&lt;&gt;"""", GOOGLETRANSLATE(O368, ""RO"", ""EN""), """")"),"")</f>
        <v/>
      </c>
      <c r="E368" s="6" t="str">
        <f>IFERROR(__xludf.DUMMYFUNCTION("IF(P368&lt;&gt;"""", GOOGLETRANSLATE(P368, ""RO"", ""EN""), """")"),"I followed and talked")</f>
        <v>I followed and talked</v>
      </c>
      <c r="F368" s="5" t="str">
        <f>IFERROR(__xludf.DUMMYFUNCTION("IF(Q368&lt;&gt;"""", GOOGLETRANSLATE(Q368, ""RO"", ""EN""), """")"),"I watched but did not discuss")</f>
        <v>I watched but did not discuss</v>
      </c>
      <c r="G368" s="5" t="str">
        <f>IFERROR(__xludf.DUMMYFUNCTION("IF(R368&lt;&gt;"""", GOOGLETRANSLATE(R368, ""RO"", ""EN""), """")"),"I did not follow but I discussed")</f>
        <v>I did not follow but I discussed</v>
      </c>
      <c r="H368" s="5" t="str">
        <f>IFERROR(__xludf.DUMMYFUNCTION("IF(U368&lt;&gt;"""", GOOGLETRANSLATE(U368, ""RO"", ""EN""), """")"),"Nor did I follow or discussed")</f>
        <v>Nor did I follow or discussed</v>
      </c>
      <c r="I368" s="5" t="str">
        <f>IFERROR(__xludf.DUMMYFUNCTION("IF(V368&lt;&gt;"""", GOOGLETRANSLATE(V368, ""RO"", ""EN""), """")"),"")</f>
        <v/>
      </c>
      <c r="J368" s="5" t="str">
        <f>IFERROR(__xludf.DUMMYFUNCTION("IF(W368&lt;&gt;"""", GOOGLETRANSLATE(W368, ""RO"", ""EN""), """")"),"")</f>
        <v/>
      </c>
      <c r="K368" s="5" t="str">
        <f>IFERROR(__xludf.DUMMYFUNCTION("IF(X368&lt;&gt;"""", GOOGLETRANSLATE(X368, ""RO"", ""EN""), """")"),"")</f>
        <v/>
      </c>
      <c r="L368" s="5" t="str">
        <f>IFERROR(__xludf.DUMMYFUNCTION("IF(S368&lt;&gt;"""", GOOGLETRANSLATE(S368, ""RO"", ""EN""), """")"),"Ns")</f>
        <v>Ns</v>
      </c>
      <c r="M368" s="5" t="str">
        <f>IFERROR(__xludf.DUMMYFUNCTION("IF(T368&lt;&gt;"""", GOOGLETRANSLATE(T368, ""RO"", ""EN""), """")"),"No.")</f>
        <v>No.</v>
      </c>
      <c r="N368" s="5" t="str">
        <f>IFERROR(__xludf.DUMMYFUNCTION("IF(Y368&lt;&gt;"""", GOOGLETRANSLATE(Y368, ""RO"", ""EN""), """")"),"")</f>
        <v/>
      </c>
      <c r="P368" s="4" t="s">
        <v>1182</v>
      </c>
      <c r="Q368" s="4" t="s">
        <v>1183</v>
      </c>
      <c r="R368" s="4" t="s">
        <v>1184</v>
      </c>
      <c r="S368" s="4" t="s">
        <v>103</v>
      </c>
      <c r="T368" s="4" t="s">
        <v>104</v>
      </c>
      <c r="U368" s="4" t="s">
        <v>1185</v>
      </c>
    </row>
    <row r="369" ht="15.75" customHeight="1">
      <c r="A369" s="4" t="s">
        <v>1186</v>
      </c>
      <c r="B369" s="4" t="s">
        <v>1187</v>
      </c>
      <c r="C369" s="4" t="str">
        <f>IFERROR(__xludf.DUMMYFUNCTION("GOOGLETRANSLATE(B369, ""RO"", ""EN"")"),"Did the debate or discussions of this change your intention to go to the vote?")</f>
        <v>Did the debate or discussions of this change your intention to go to the vote?</v>
      </c>
      <c r="D369" s="5" t="str">
        <f>IFERROR(__xludf.DUMMYFUNCTION("IF(O369&lt;&gt;"""", GOOGLETRANSLATE(O369, ""RO"", ""EN""), """")"),"")</f>
        <v/>
      </c>
      <c r="E369" s="6" t="str">
        <f>IFERROR(__xludf.DUMMYFUNCTION("IF(P369&lt;&gt;"""", GOOGLETRANSLATE(P369, ""RO"", ""EN""), """")"),"caused you to vote")</f>
        <v>caused you to vote</v>
      </c>
      <c r="F369" s="5" t="str">
        <f>IFERROR(__xludf.DUMMYFUNCTION("IF(Q369&lt;&gt;"""", GOOGLETRANSLATE(Q369, ""RO"", ""EN""), """")"),"caused you not to go to vote")</f>
        <v>caused you not to go to vote</v>
      </c>
      <c r="G369" s="5" t="str">
        <f>IFERROR(__xludf.DUMMYFUNCTION("IF(R369&lt;&gt;"""", GOOGLETRANSLATE(R369, ""RO"", ""EN""), """")"),"has not changed your initial intention")</f>
        <v>has not changed your initial intention</v>
      </c>
      <c r="H369" s="5" t="str">
        <f>IFERROR(__xludf.DUMMYFUNCTION("IF(U369&lt;&gt;"""", GOOGLETRANSLATE(U369, ""RO"", ""EN""), """")"),"")</f>
        <v/>
      </c>
      <c r="I369" s="5" t="str">
        <f>IFERROR(__xludf.DUMMYFUNCTION("IF(V369&lt;&gt;"""", GOOGLETRANSLATE(V369, ""RO"", ""EN""), """")"),"")</f>
        <v/>
      </c>
      <c r="J369" s="5" t="str">
        <f>IFERROR(__xludf.DUMMYFUNCTION("IF(W369&lt;&gt;"""", GOOGLETRANSLATE(W369, ""RO"", ""EN""), """")"),"")</f>
        <v/>
      </c>
      <c r="K369" s="5" t="str">
        <f>IFERROR(__xludf.DUMMYFUNCTION("IF(X369&lt;&gt;"""", GOOGLETRANSLATE(X369, ""RO"", ""EN""), """")"),"You did not follow the debate")</f>
        <v>You did not follow the debate</v>
      </c>
      <c r="L369" s="5" t="str">
        <f>IFERROR(__xludf.DUMMYFUNCTION("IF(S369&lt;&gt;"""", GOOGLETRANSLATE(S369, ""RO"", ""EN""), """")"),"Ns")</f>
        <v>Ns</v>
      </c>
      <c r="M369" s="5" t="str">
        <f>IFERROR(__xludf.DUMMYFUNCTION("IF(T369&lt;&gt;"""", GOOGLETRANSLATE(T369, ""RO"", ""EN""), """")"),"No.")</f>
        <v>No.</v>
      </c>
      <c r="N369" s="5" t="str">
        <f>IFERROR(__xludf.DUMMYFUNCTION("IF(Y369&lt;&gt;"""", GOOGLETRANSLATE(Y369, ""RO"", ""EN""), """")"),"")</f>
        <v/>
      </c>
      <c r="P369" s="4" t="s">
        <v>1188</v>
      </c>
      <c r="Q369" s="4" t="s">
        <v>1189</v>
      </c>
      <c r="R369" s="4" t="s">
        <v>1190</v>
      </c>
      <c r="S369" s="4" t="s">
        <v>103</v>
      </c>
      <c r="T369" s="4" t="s">
        <v>104</v>
      </c>
      <c r="X369" s="4" t="s">
        <v>1191</v>
      </c>
    </row>
    <row r="370" ht="15.75" customHeight="1">
      <c r="A370" s="4" t="s">
        <v>1192</v>
      </c>
      <c r="B370" s="4" t="s">
        <v>1193</v>
      </c>
      <c r="C370" s="4" t="str">
        <f>IFERROR(__xludf.DUMMYFUNCTION("GOOGLETRANSLATE(B370, ""RO"", ""EN"")"),"Did the debate or discussions of this change your voting option?")</f>
        <v>Did the debate or discussions of this change your voting option?</v>
      </c>
      <c r="D370" s="5" t="str">
        <f>IFERROR(__xludf.DUMMYFUNCTION("IF(O370&lt;&gt;"""", GOOGLETRANSLATE(O370, ""RO"", ""EN""), """")"),"")</f>
        <v/>
      </c>
      <c r="E370" s="6" t="str">
        <f>IFERROR(__xludf.DUMMYFUNCTION("IF(P370&lt;&gt;"""", GOOGLETRANSLATE(P370, ""RO"", ""EN""), """")"),"Yes")</f>
        <v>Yes</v>
      </c>
      <c r="F370" s="5" t="str">
        <f>IFERROR(__xludf.DUMMYFUNCTION("IF(Q370&lt;&gt;"""", GOOGLETRANSLATE(Q370, ""RO"", ""EN""), """")"),"Not")</f>
        <v>Not</v>
      </c>
      <c r="G370" s="5" t="str">
        <f>IFERROR(__xludf.DUMMYFUNCTION("IF(R370&lt;&gt;"""", GOOGLETRANSLATE(R370, ""RO"", ""EN""), """")"),"")</f>
        <v/>
      </c>
      <c r="H370" s="5" t="str">
        <f>IFERROR(__xludf.DUMMYFUNCTION("IF(U370&lt;&gt;"""", GOOGLETRANSLATE(U370, ""RO"", ""EN""), """")"),"")</f>
        <v/>
      </c>
      <c r="I370" s="5" t="str">
        <f>IFERROR(__xludf.DUMMYFUNCTION("IF(V370&lt;&gt;"""", GOOGLETRANSLATE(V370, ""RO"", ""EN""), """")"),"")</f>
        <v/>
      </c>
      <c r="J370" s="5" t="str">
        <f>IFERROR(__xludf.DUMMYFUNCTION("IF(W370&lt;&gt;"""", GOOGLETRANSLATE(W370, ""RO"", ""EN""), """")"),"")</f>
        <v/>
      </c>
      <c r="K370" s="5" t="str">
        <f>IFERROR(__xludf.DUMMYFUNCTION("IF(X370&lt;&gt;"""", GOOGLETRANSLATE(X370, ""RO"", ""EN""), """")"),"Nc")</f>
        <v>Nc</v>
      </c>
      <c r="L370" s="5" t="str">
        <f>IFERROR(__xludf.DUMMYFUNCTION("IF(S370&lt;&gt;"""", GOOGLETRANSLATE(S370, ""RO"", ""EN""), """")"),"Ns")</f>
        <v>Ns</v>
      </c>
      <c r="M370" s="5" t="str">
        <f>IFERROR(__xludf.DUMMYFUNCTION("IF(T370&lt;&gt;"""", GOOGLETRANSLATE(T370, ""RO"", ""EN""), """")"),"No.")</f>
        <v>No.</v>
      </c>
      <c r="N370" s="5" t="str">
        <f>IFERROR(__xludf.DUMMYFUNCTION("IF(Y370&lt;&gt;"""", GOOGLETRANSLATE(Y370, ""RO"", ""EN""), """")"),"")</f>
        <v/>
      </c>
      <c r="P370" s="4" t="s">
        <v>639</v>
      </c>
      <c r="Q370" s="4" t="s">
        <v>640</v>
      </c>
      <c r="S370" s="4" t="s">
        <v>103</v>
      </c>
      <c r="T370" s="4" t="s">
        <v>104</v>
      </c>
      <c r="X370" s="4" t="s">
        <v>177</v>
      </c>
    </row>
    <row r="371" ht="15.75" customHeight="1">
      <c r="A371" s="4" t="s">
        <v>1194</v>
      </c>
      <c r="B371" s="4" t="s">
        <v>1195</v>
      </c>
      <c r="C371" s="4" t="str">
        <f>IFERROR(__xludf.DUMMYFUNCTION("GOOGLETRANSLATE(B371, ""RO"", ""EN"")"),"Many people were missing from the referendum on November 22, 2009, while others voted. Did you vote on this referendum?")</f>
        <v>Many people were missing from the referendum on November 22, 2009, while others voted. Did you vote on this referendum?</v>
      </c>
      <c r="D371" s="5" t="str">
        <f>IFERROR(__xludf.DUMMYFUNCTION("IF(O371&lt;&gt;"""", GOOGLETRANSLATE(O371, ""RO"", ""EN""), """")"),"")</f>
        <v/>
      </c>
      <c r="E371" s="6" t="str">
        <f>IFERROR(__xludf.DUMMYFUNCTION("IF(P371&lt;&gt;"""", GOOGLETRANSLATE(P371, ""RO"", ""EN""), """")"),"Yes I voted")</f>
        <v>Yes I voted</v>
      </c>
      <c r="F371" s="5" t="str">
        <f>IFERROR(__xludf.DUMMYFUNCTION("IF(Q371&lt;&gt;"""", GOOGLETRANSLATE(Q371, ""RO"", ""EN""), """")"),"No, I didn't vote")</f>
        <v>No, I didn't vote</v>
      </c>
      <c r="G371" s="5" t="str">
        <f>IFERROR(__xludf.DUMMYFUNCTION("IF(R371&lt;&gt;"""", GOOGLETRANSLATE(R371, ""RO"", ""EN""), """")"),"")</f>
        <v/>
      </c>
      <c r="H371" s="5" t="str">
        <f>IFERROR(__xludf.DUMMYFUNCTION("IF(U371&lt;&gt;"""", GOOGLETRANSLATE(U371, ""RO"", ""EN""), """")"),"")</f>
        <v/>
      </c>
      <c r="I371" s="5" t="str">
        <f>IFERROR(__xludf.DUMMYFUNCTION("IF(V371&lt;&gt;"""", GOOGLETRANSLATE(V371, ""RO"", ""EN""), """")"),"")</f>
        <v/>
      </c>
      <c r="J371" s="5" t="str">
        <f>IFERROR(__xludf.DUMMYFUNCTION("IF(W371&lt;&gt;"""", GOOGLETRANSLATE(W371, ""RO"", ""EN""), """")"),"")</f>
        <v/>
      </c>
      <c r="K371" s="5" t="str">
        <f>IFERROR(__xludf.DUMMYFUNCTION("IF(X371&lt;&gt;"""", GOOGLETRANSLATE(X371, ""RO"", ""EN""), """")"),"")</f>
        <v/>
      </c>
      <c r="L371" s="5" t="str">
        <f>IFERROR(__xludf.DUMMYFUNCTION("IF(S371&lt;&gt;"""", GOOGLETRANSLATE(S371, ""RO"", ""EN""), """")"),"Ns")</f>
        <v>Ns</v>
      </c>
      <c r="M371" s="5" t="str">
        <f>IFERROR(__xludf.DUMMYFUNCTION("IF(T371&lt;&gt;"""", GOOGLETRANSLATE(T371, ""RO"", ""EN""), """")"),"No.")</f>
        <v>No.</v>
      </c>
      <c r="N371" s="5" t="str">
        <f>IFERROR(__xludf.DUMMYFUNCTION("IF(Y371&lt;&gt;"""", GOOGLETRANSLATE(Y371, ""RO"", ""EN""), """")"),"")</f>
        <v/>
      </c>
      <c r="P371" s="4" t="s">
        <v>1160</v>
      </c>
      <c r="Q371" s="4" t="s">
        <v>1161</v>
      </c>
      <c r="S371" s="4" t="s">
        <v>103</v>
      </c>
      <c r="T371" s="4" t="s">
        <v>104</v>
      </c>
    </row>
    <row r="372" ht="15.75" customHeight="1">
      <c r="A372" s="4" t="s">
        <v>1196</v>
      </c>
      <c r="B372" s="4" t="s">
        <v>1197</v>
      </c>
      <c r="C372" s="4" t="str">
        <f>IFERROR(__xludf.DUMMYFUNCTION("GOOGLETRANSLATE(B372, ""RO"", ""EN"")"),"At the referendum of November 22, 2009, about half of the Romanian citizens were not voting. Which of the following statements s ...")</f>
        <v>At the referendum of November 22, 2009, about half of the Romanian citizens were not voting. Which of the following statements s ...</v>
      </c>
      <c r="D372" s="5" t="str">
        <f>IFERROR(__xludf.DUMMYFUNCTION("IF(O372&lt;&gt;"""", GOOGLETRANSLATE(O372, ""RO"", ""EN""), """")"),"")</f>
        <v/>
      </c>
      <c r="E372" s="6" t="str">
        <f>IFERROR(__xludf.DUMMYFUNCTION("IF(P372&lt;&gt;"""", GOOGLETRANSLATE(P372, ""RO"", ""EN""), """")"),"Sure I voted")</f>
        <v>Sure I voted</v>
      </c>
      <c r="F372" s="5" t="str">
        <f>IFERROR(__xludf.DUMMYFUNCTION("IF(Q372&lt;&gt;"""", GOOGLETRANSLATE(Q372, ""RO"", ""EN""), """")"),"I usually vote but then I didn't vote")</f>
        <v>I usually vote but then I didn't vote</v>
      </c>
      <c r="G372" s="5" t="str">
        <f>IFERROR(__xludf.DUMMYFUNCTION("IF(R372&lt;&gt;"""", GOOGLETRANSLATE(R372, ""RO"", ""EN""), """")"),"I thought of voting but I didn't vote")</f>
        <v>I thought of voting but I didn't vote</v>
      </c>
      <c r="H372" s="5" t="str">
        <f>IFERROR(__xludf.DUMMYFUNCTION("IF(U372&lt;&gt;"""", GOOGLETRANSLATE(U372, ""RO"", ""EN""), """")"),"I did not vote at the November 2009 referendum")</f>
        <v>I did not vote at the November 2009 referendum</v>
      </c>
      <c r="I372" s="5" t="str">
        <f>IFERROR(__xludf.DUMMYFUNCTION("IF(V372&lt;&gt;"""", GOOGLETRANSLATE(V372, ""RO"", ""EN""), """")"),"")</f>
        <v/>
      </c>
      <c r="J372" s="5" t="str">
        <f>IFERROR(__xludf.DUMMYFUNCTION("IF(W372&lt;&gt;"""", GOOGLETRANSLATE(W372, ""RO"", ""EN""), """")"),"")</f>
        <v/>
      </c>
      <c r="K372" s="5" t="str">
        <f>IFERROR(__xludf.DUMMYFUNCTION("IF(X372&lt;&gt;"""", GOOGLETRANSLATE(X372, ""RO"", ""EN""), """")"),"")</f>
        <v/>
      </c>
      <c r="L372" s="5" t="str">
        <f>IFERROR(__xludf.DUMMYFUNCTION("IF(S372&lt;&gt;"""", GOOGLETRANSLATE(S372, ""RO"", ""EN""), """")"),"Ns")</f>
        <v>Ns</v>
      </c>
      <c r="M372" s="5" t="str">
        <f>IFERROR(__xludf.DUMMYFUNCTION("IF(T372&lt;&gt;"""", GOOGLETRANSLATE(T372, ""RO"", ""EN""), """")"),"No.")</f>
        <v>No.</v>
      </c>
      <c r="N372" s="5" t="str">
        <f>IFERROR(__xludf.DUMMYFUNCTION("IF(Y372&lt;&gt;"""", GOOGLETRANSLATE(Y372, ""RO"", ""EN""), """")"),"")</f>
        <v/>
      </c>
      <c r="P372" s="4" t="s">
        <v>1164</v>
      </c>
      <c r="Q372" s="4" t="s">
        <v>1165</v>
      </c>
      <c r="R372" s="4" t="s">
        <v>1166</v>
      </c>
      <c r="S372" s="4" t="s">
        <v>103</v>
      </c>
      <c r="T372" s="4" t="s">
        <v>104</v>
      </c>
      <c r="U372" s="4" t="s">
        <v>1198</v>
      </c>
    </row>
    <row r="373" ht="15.75" customHeight="1">
      <c r="A373" s="4" t="s">
        <v>1199</v>
      </c>
      <c r="B373" s="4" t="s">
        <v>1200</v>
      </c>
      <c r="C373" s="4" t="str">
        <f>IFERROR(__xludf.DUMMYFUNCTION("GOOGLETRANSLATE(B373, ""RO"", ""EN"")"),"Voted at refrendum")</f>
        <v>Voted at refrendum</v>
      </c>
      <c r="D373" s="5" t="str">
        <f>IFERROR(__xludf.DUMMYFUNCTION("IF(O373&lt;&gt;"""", GOOGLETRANSLATE(O373, ""RO"", ""EN""), """")"),"")</f>
        <v/>
      </c>
      <c r="E373" s="6" t="str">
        <f>IFERROR(__xludf.DUMMYFUNCTION("IF(P373&lt;&gt;"""", GOOGLETRANSLATE(P373, ""RO"", ""EN""), """")"),"Yes")</f>
        <v>Yes</v>
      </c>
      <c r="F373" s="5" t="str">
        <f>IFERROR(__xludf.DUMMYFUNCTION("IF(Q373&lt;&gt;"""", GOOGLETRANSLATE(Q373, ""RO"", ""EN""), """")"),"not")</f>
        <v>not</v>
      </c>
      <c r="G373" s="5" t="str">
        <f>IFERROR(__xludf.DUMMYFUNCTION("IF(R373&lt;&gt;"""", GOOGLETRANSLATE(R373, ""RO"", ""EN""), """")"),"")</f>
        <v/>
      </c>
      <c r="H373" s="5" t="str">
        <f>IFERROR(__xludf.DUMMYFUNCTION("IF(U373&lt;&gt;"""", GOOGLETRANSLATE(U373, ""RO"", ""EN""), """")"),"")</f>
        <v/>
      </c>
      <c r="I373" s="5" t="str">
        <f>IFERROR(__xludf.DUMMYFUNCTION("IF(V373&lt;&gt;"""", GOOGLETRANSLATE(V373, ""RO"", ""EN""), """")"),"")</f>
        <v/>
      </c>
      <c r="J373" s="5" t="str">
        <f>IFERROR(__xludf.DUMMYFUNCTION("IF(W373&lt;&gt;"""", GOOGLETRANSLATE(W373, ""RO"", ""EN""), """")"),"")</f>
        <v/>
      </c>
      <c r="K373" s="5" t="str">
        <f>IFERROR(__xludf.DUMMYFUNCTION("IF(X373&lt;&gt;"""", GOOGLETRANSLATE(X373, ""RO"", ""EN""), """")"),"Nc")</f>
        <v>Nc</v>
      </c>
      <c r="L373" s="5" t="str">
        <f>IFERROR(__xludf.DUMMYFUNCTION("IF(S373&lt;&gt;"""", GOOGLETRANSLATE(S373, ""RO"", ""EN""), """")"),"")</f>
        <v/>
      </c>
      <c r="M373" s="5" t="str">
        <f>IFERROR(__xludf.DUMMYFUNCTION("IF(T373&lt;&gt;"""", GOOGLETRANSLATE(T373, ""RO"", ""EN""), """")"),"No.")</f>
        <v>No.</v>
      </c>
      <c r="N373" s="5" t="str">
        <f>IFERROR(__xludf.DUMMYFUNCTION("IF(Y373&lt;&gt;"""", GOOGLETRANSLATE(Y373, ""RO"", ""EN""), """")"),"")</f>
        <v/>
      </c>
      <c r="P373" s="4" t="s">
        <v>77</v>
      </c>
      <c r="Q373" s="4" t="s">
        <v>76</v>
      </c>
      <c r="T373" s="4" t="s">
        <v>104</v>
      </c>
      <c r="X373" s="4" t="s">
        <v>177</v>
      </c>
    </row>
    <row r="374" ht="15.75" customHeight="1">
      <c r="A374" s="4" t="s">
        <v>1201</v>
      </c>
      <c r="B374" s="4" t="s">
        <v>1202</v>
      </c>
      <c r="C374" s="4" t="str">
        <f>IFERROR(__xludf.DUMMYFUNCTION("GOOGLETRANSLATE(B374, ""RO"", ""EN"")"),"To the question 'do you agree that the Parliament of Romania is made up of a single chamber?' Did you vote yes or no?")</f>
        <v>To the question 'do you agree that the Parliament of Romania is made up of a single chamber?' Did you vote yes or no?</v>
      </c>
      <c r="D374" s="5" t="str">
        <f>IFERROR(__xludf.DUMMYFUNCTION("IF(O374&lt;&gt;"""", GOOGLETRANSLATE(O374, ""RO"", ""EN""), """")"),"")</f>
        <v/>
      </c>
      <c r="E374" s="6" t="str">
        <f>IFERROR(__xludf.DUMMYFUNCTION("IF(P374&lt;&gt;"""", GOOGLETRANSLATE(P374, ""RO"", ""EN""), """")"),"Yes")</f>
        <v>Yes</v>
      </c>
      <c r="F374" s="5" t="str">
        <f>IFERROR(__xludf.DUMMYFUNCTION("IF(Q374&lt;&gt;"""", GOOGLETRANSLATE(Q374, ""RO"", ""EN""), """")"),"Not")</f>
        <v>Not</v>
      </c>
      <c r="G374" s="5" t="str">
        <f>IFERROR(__xludf.DUMMYFUNCTION("IF(R374&lt;&gt;"""", GOOGLETRANSLATE(R374, ""RO"", ""EN""), """")"),"")</f>
        <v/>
      </c>
      <c r="H374" s="5" t="str">
        <f>IFERROR(__xludf.DUMMYFUNCTION("IF(U374&lt;&gt;"""", GOOGLETRANSLATE(U374, ""RO"", ""EN""), """")"),"")</f>
        <v/>
      </c>
      <c r="I374" s="5" t="str">
        <f>IFERROR(__xludf.DUMMYFUNCTION("IF(V374&lt;&gt;"""", GOOGLETRANSLATE(V374, ""RO"", ""EN""), """")"),"")</f>
        <v/>
      </c>
      <c r="J374" s="5" t="str">
        <f>IFERROR(__xludf.DUMMYFUNCTION("IF(W374&lt;&gt;"""", GOOGLETRANSLATE(W374, ""RO"", ""EN""), """")"),"")</f>
        <v/>
      </c>
      <c r="K374" s="5" t="str">
        <f>IFERROR(__xludf.DUMMYFUNCTION("IF(X374&lt;&gt;"""", GOOGLETRANSLATE(X374, ""RO"", ""EN""), """")"),"Nc")</f>
        <v>Nc</v>
      </c>
      <c r="L374" s="5" t="str">
        <f>IFERROR(__xludf.DUMMYFUNCTION("IF(S374&lt;&gt;"""", GOOGLETRANSLATE(S374, ""RO"", ""EN""), """")"),"Ns")</f>
        <v>Ns</v>
      </c>
      <c r="M374" s="5" t="str">
        <f>IFERROR(__xludf.DUMMYFUNCTION("IF(T374&lt;&gt;"""", GOOGLETRANSLATE(T374, ""RO"", ""EN""), """")"),"No.")</f>
        <v>No.</v>
      </c>
      <c r="N374" s="5" t="str">
        <f>IFERROR(__xludf.DUMMYFUNCTION("IF(Y374&lt;&gt;"""", GOOGLETRANSLATE(Y374, ""RO"", ""EN""), """")"),"")</f>
        <v/>
      </c>
      <c r="P374" s="4" t="s">
        <v>639</v>
      </c>
      <c r="Q374" s="4" t="s">
        <v>640</v>
      </c>
      <c r="S374" s="4" t="s">
        <v>103</v>
      </c>
      <c r="T374" s="4" t="s">
        <v>104</v>
      </c>
      <c r="X374" s="4" t="s">
        <v>177</v>
      </c>
    </row>
    <row r="375" ht="15.75" customHeight="1">
      <c r="A375" s="4" t="s">
        <v>1203</v>
      </c>
      <c r="B375" s="4" t="s">
        <v>1204</v>
      </c>
      <c r="C375" s="4" t="str">
        <f>IFERROR(__xludf.DUMMYFUNCTION("GOOGLETRANSLATE(B375, ""RO"", ""EN"")"),"To the question 'do you agree to reduce the number of parliamentarians?' Did you vote yes or no?")</f>
        <v>To the question 'do you agree to reduce the number of parliamentarians?' Did you vote yes or no?</v>
      </c>
      <c r="D375" s="5" t="str">
        <f>IFERROR(__xludf.DUMMYFUNCTION("IF(O375&lt;&gt;"""", GOOGLETRANSLATE(O375, ""RO"", ""EN""), """")"),"")</f>
        <v/>
      </c>
      <c r="E375" s="6" t="str">
        <f>IFERROR(__xludf.DUMMYFUNCTION("IF(P375&lt;&gt;"""", GOOGLETRANSLATE(P375, ""RO"", ""EN""), """")"),"Yes")</f>
        <v>Yes</v>
      </c>
      <c r="F375" s="5" t="str">
        <f>IFERROR(__xludf.DUMMYFUNCTION("IF(Q375&lt;&gt;"""", GOOGLETRANSLATE(Q375, ""RO"", ""EN""), """")"),"Not")</f>
        <v>Not</v>
      </c>
      <c r="G375" s="5" t="str">
        <f>IFERROR(__xludf.DUMMYFUNCTION("IF(R375&lt;&gt;"""", GOOGLETRANSLATE(R375, ""RO"", ""EN""), """")"),"")</f>
        <v/>
      </c>
      <c r="H375" s="5" t="str">
        <f>IFERROR(__xludf.DUMMYFUNCTION("IF(U375&lt;&gt;"""", GOOGLETRANSLATE(U375, ""RO"", ""EN""), """")"),"")</f>
        <v/>
      </c>
      <c r="I375" s="5" t="str">
        <f>IFERROR(__xludf.DUMMYFUNCTION("IF(V375&lt;&gt;"""", GOOGLETRANSLATE(V375, ""RO"", ""EN""), """")"),"")</f>
        <v/>
      </c>
      <c r="J375" s="5" t="str">
        <f>IFERROR(__xludf.DUMMYFUNCTION("IF(W375&lt;&gt;"""", GOOGLETRANSLATE(W375, ""RO"", ""EN""), """")"),"")</f>
        <v/>
      </c>
      <c r="K375" s="5" t="str">
        <f>IFERROR(__xludf.DUMMYFUNCTION("IF(X375&lt;&gt;"""", GOOGLETRANSLATE(X375, ""RO"", ""EN""), """")"),"Nc")</f>
        <v>Nc</v>
      </c>
      <c r="L375" s="5" t="str">
        <f>IFERROR(__xludf.DUMMYFUNCTION("IF(S375&lt;&gt;"""", GOOGLETRANSLATE(S375, ""RO"", ""EN""), """")"),"Ns")</f>
        <v>Ns</v>
      </c>
      <c r="M375" s="5" t="str">
        <f>IFERROR(__xludf.DUMMYFUNCTION("IF(T375&lt;&gt;"""", GOOGLETRANSLATE(T375, ""RO"", ""EN""), """")"),"No.")</f>
        <v>No.</v>
      </c>
      <c r="N375" s="5" t="str">
        <f>IFERROR(__xludf.DUMMYFUNCTION("IF(Y375&lt;&gt;"""", GOOGLETRANSLATE(Y375, ""RO"", ""EN""), """")"),"")</f>
        <v/>
      </c>
      <c r="P375" s="4" t="s">
        <v>639</v>
      </c>
      <c r="Q375" s="4" t="s">
        <v>640</v>
      </c>
      <c r="S375" s="4" t="s">
        <v>103</v>
      </c>
      <c r="T375" s="4" t="s">
        <v>104</v>
      </c>
      <c r="X375" s="4" t="s">
        <v>177</v>
      </c>
    </row>
    <row r="376" ht="15.75" customHeight="1">
      <c r="A376" s="4" t="s">
        <v>1205</v>
      </c>
      <c r="B376" s="4" t="s">
        <v>1206</v>
      </c>
      <c r="C376" s="4" t="str">
        <f>IFERROR(__xludf.DUMMYFUNCTION("GOOGLETRANSLATE(B376, ""RO"", ""EN"")"),"In round 2 of your presidential elections.")</f>
        <v>In round 2 of your presidential elections.</v>
      </c>
      <c r="D376" s="5" t="str">
        <f>IFERROR(__xludf.DUMMYFUNCTION("IF(O376&lt;&gt;"""", GOOGLETRANSLATE(O376, ""RO"", ""EN""), """")"),"")</f>
        <v/>
      </c>
      <c r="E376" s="6" t="str">
        <f>IFERROR(__xludf.DUMMYFUNCTION("IF(P376&lt;&gt;"""", GOOGLETRANSLATE(P376, ""RO"", ""EN""), """")"),"I'm sure I'm going")</f>
        <v>I'm sure I'm going</v>
      </c>
      <c r="F376" s="5" t="str">
        <f>IFERROR(__xludf.DUMMYFUNCTION("IF(Q376&lt;&gt;"""", GOOGLETRANSLATE(Q376, ""RO"", ""EN""), """")"),"I probably go")</f>
        <v>I probably go</v>
      </c>
      <c r="G376" s="5" t="str">
        <f>IFERROR(__xludf.DUMMYFUNCTION("IF(R376&lt;&gt;"""", GOOGLETRANSLATE(R376, ""RO"", ""EN""), """")"),"I probably don't go")</f>
        <v>I probably don't go</v>
      </c>
      <c r="H376" s="5" t="str">
        <f>IFERROR(__xludf.DUMMYFUNCTION("IF(U376&lt;&gt;"""", GOOGLETRANSLATE(U376, ""RO"", ""EN""), """")"),"Sure I don't go")</f>
        <v>Sure I don't go</v>
      </c>
      <c r="I376" s="5" t="str">
        <f>IFERROR(__xludf.DUMMYFUNCTION("IF(V376&lt;&gt;"""", GOOGLETRANSLATE(V376, ""RO"", ""EN""), """")"),"")</f>
        <v/>
      </c>
      <c r="J376" s="5" t="str">
        <f>IFERROR(__xludf.DUMMYFUNCTION("IF(W376&lt;&gt;"""", GOOGLETRANSLATE(W376, ""RO"", ""EN""), """")"),"")</f>
        <v/>
      </c>
      <c r="K376" s="5" t="str">
        <f>IFERROR(__xludf.DUMMYFUNCTION("IF(X376&lt;&gt;"""", GOOGLETRANSLATE(X376, ""RO"", ""EN""), """")"),"")</f>
        <v/>
      </c>
      <c r="L376" s="5" t="str">
        <f>IFERROR(__xludf.DUMMYFUNCTION("IF(S376&lt;&gt;"""", GOOGLETRANSLATE(S376, ""RO"", ""EN""), """")"),"Ns")</f>
        <v>Ns</v>
      </c>
      <c r="M376" s="5" t="str">
        <f>IFERROR(__xludf.DUMMYFUNCTION("IF(T376&lt;&gt;"""", GOOGLETRANSLATE(T376, ""RO"", ""EN""), """")"),"No.")</f>
        <v>No.</v>
      </c>
      <c r="N376" s="5" t="str">
        <f>IFERROR(__xludf.DUMMYFUNCTION("IF(Y376&lt;&gt;"""", GOOGLETRANSLATE(Y376, ""RO"", ""EN""), """")"),"")</f>
        <v/>
      </c>
      <c r="P376" s="4" t="s">
        <v>471</v>
      </c>
      <c r="Q376" s="4" t="s">
        <v>472</v>
      </c>
      <c r="R376" s="4" t="s">
        <v>473</v>
      </c>
      <c r="S376" s="4" t="s">
        <v>103</v>
      </c>
      <c r="T376" s="4" t="s">
        <v>104</v>
      </c>
      <c r="U376" s="4" t="s">
        <v>474</v>
      </c>
    </row>
    <row r="377" ht="15.75" customHeight="1">
      <c r="A377" s="4" t="s">
        <v>1207</v>
      </c>
      <c r="B377" s="4" t="s">
        <v>1208</v>
      </c>
      <c r="C377" s="4" t="str">
        <f>IFERROR(__xludf.DUMMYFUNCTION("GOOGLETRANSLATE(B377, ""RO"", ""EN"")"),"For different reasons, very likely only half of the voters will vote at the presidential elections, tour 2. You will go for sure ...")</f>
        <v>For different reasons, very likely only half of the voters will vote at the presidential elections, tour 2. You will go for sure ...</v>
      </c>
      <c r="D377" s="5" t="str">
        <f>IFERROR(__xludf.DUMMYFUNCTION("IF(O377&lt;&gt;"""", GOOGLETRANSLATE(O377, ""RO"", ""EN""), """")"),"")</f>
        <v/>
      </c>
      <c r="E377" s="6" t="str">
        <f>IFERROR(__xludf.DUMMYFUNCTION("IF(P377&lt;&gt;"""", GOOGLETRANSLATE(P377, ""RO"", ""EN""), """")"),"I'm sure I'm going")</f>
        <v>I'm sure I'm going</v>
      </c>
      <c r="F377" s="5" t="str">
        <f>IFERROR(__xludf.DUMMYFUNCTION("IF(Q377&lt;&gt;"""", GOOGLETRANSLATE(Q377, ""RO"", ""EN""), """")"),"I probably go")</f>
        <v>I probably go</v>
      </c>
      <c r="G377" s="5" t="str">
        <f>IFERROR(__xludf.DUMMYFUNCTION("IF(R377&lt;&gt;"""", GOOGLETRANSLATE(R377, ""RO"", ""EN""), """")"),"I probably don't go")</f>
        <v>I probably don't go</v>
      </c>
      <c r="H377" s="5" t="str">
        <f>IFERROR(__xludf.DUMMYFUNCTION("IF(U377&lt;&gt;"""", GOOGLETRANSLATE(U377, ""RO"", ""EN""), """")"),"Sure I don't go")</f>
        <v>Sure I don't go</v>
      </c>
      <c r="I377" s="5" t="str">
        <f>IFERROR(__xludf.DUMMYFUNCTION("IF(V377&lt;&gt;"""", GOOGLETRANSLATE(V377, ""RO"", ""EN""), """")"),"")</f>
        <v/>
      </c>
      <c r="J377" s="5" t="str">
        <f>IFERROR(__xludf.DUMMYFUNCTION("IF(W377&lt;&gt;"""", GOOGLETRANSLATE(W377, ""RO"", ""EN""), """")"),"")</f>
        <v/>
      </c>
      <c r="K377" s="5" t="str">
        <f>IFERROR(__xludf.DUMMYFUNCTION("IF(X377&lt;&gt;"""", GOOGLETRANSLATE(X377, ""RO"", ""EN""), """")"),"")</f>
        <v/>
      </c>
      <c r="L377" s="5" t="str">
        <f>IFERROR(__xludf.DUMMYFUNCTION("IF(S377&lt;&gt;"""", GOOGLETRANSLATE(S377, ""RO"", ""EN""), """")"),"Ns")</f>
        <v>Ns</v>
      </c>
      <c r="M377" s="5" t="str">
        <f>IFERROR(__xludf.DUMMYFUNCTION("IF(T377&lt;&gt;"""", GOOGLETRANSLATE(T377, ""RO"", ""EN""), """")"),"No.")</f>
        <v>No.</v>
      </c>
      <c r="N377" s="5" t="str">
        <f>IFERROR(__xludf.DUMMYFUNCTION("IF(Y377&lt;&gt;"""", GOOGLETRANSLATE(Y377, ""RO"", ""EN""), """")"),"")</f>
        <v/>
      </c>
      <c r="P377" s="4" t="s">
        <v>471</v>
      </c>
      <c r="Q377" s="4" t="s">
        <v>472</v>
      </c>
      <c r="R377" s="4" t="s">
        <v>473</v>
      </c>
      <c r="S377" s="4" t="s">
        <v>103</v>
      </c>
      <c r="T377" s="4" t="s">
        <v>104</v>
      </c>
      <c r="U377" s="4" t="s">
        <v>474</v>
      </c>
    </row>
    <row r="378" ht="15.75" customHeight="1">
      <c r="A378" s="4" t="s">
        <v>1209</v>
      </c>
      <c r="B378" s="4" t="s">
        <v>1210</v>
      </c>
      <c r="C378" s="4" t="str">
        <f>IFERROR(__xludf.DUMMYFUNCTION("GOOGLETRANSLATE(B378, ""RO"", ""EN"")"),"The intention to vote in round 2")</f>
        <v>The intention to vote in round 2</v>
      </c>
      <c r="D378" s="5" t="str">
        <f>IFERROR(__xludf.DUMMYFUNCTION("IF(O378&lt;&gt;"""", GOOGLETRANSLATE(O378, ""RO"", ""EN""), """")"),"")</f>
        <v/>
      </c>
      <c r="E378" s="6" t="str">
        <f>IFERROR(__xludf.DUMMYFUNCTION("IF(P378&lt;&gt;"""", GOOGLETRANSLATE(P378, ""RO"", ""EN""), """")"),"I'm sure I'm going")</f>
        <v>I'm sure I'm going</v>
      </c>
      <c r="F378" s="5" t="str">
        <f>IFERROR(__xludf.DUMMYFUNCTION("IF(Q378&lt;&gt;"""", GOOGLETRANSLATE(Q378, ""RO"", ""EN""), """")"),"I probably go")</f>
        <v>I probably go</v>
      </c>
      <c r="G378" s="5" t="str">
        <f>IFERROR(__xludf.DUMMYFUNCTION("IF(R378&lt;&gt;"""", GOOGLETRANSLATE(R378, ""RO"", ""EN""), """")"),"I probably don't go")</f>
        <v>I probably don't go</v>
      </c>
      <c r="H378" s="5" t="str">
        <f>IFERROR(__xludf.DUMMYFUNCTION("IF(U378&lt;&gt;"""", GOOGLETRANSLATE(U378, ""RO"", ""EN""), """")"),"Sure I don't go")</f>
        <v>Sure I don't go</v>
      </c>
      <c r="I378" s="5" t="str">
        <f>IFERROR(__xludf.DUMMYFUNCTION("IF(V378&lt;&gt;"""", GOOGLETRANSLATE(V378, ""RO"", ""EN""), """")"),"")</f>
        <v/>
      </c>
      <c r="J378" s="5" t="str">
        <f>IFERROR(__xludf.DUMMYFUNCTION("IF(W378&lt;&gt;"""", GOOGLETRANSLATE(W378, ""RO"", ""EN""), """")"),"")</f>
        <v/>
      </c>
      <c r="K378" s="5" t="str">
        <f>IFERROR(__xludf.DUMMYFUNCTION("IF(X378&lt;&gt;"""", GOOGLETRANSLATE(X378, ""RO"", ""EN""), """")"),"")</f>
        <v/>
      </c>
      <c r="L378" s="5" t="str">
        <f>IFERROR(__xludf.DUMMYFUNCTION("IF(S378&lt;&gt;"""", GOOGLETRANSLATE(S378, ""RO"", ""EN""), """")"),"Ns")</f>
        <v>Ns</v>
      </c>
      <c r="M378" s="5" t="str">
        <f>IFERROR(__xludf.DUMMYFUNCTION("IF(T378&lt;&gt;"""", GOOGLETRANSLATE(T378, ""RO"", ""EN""), """")"),"No.")</f>
        <v>No.</v>
      </c>
      <c r="N378" s="5" t="str">
        <f>IFERROR(__xludf.DUMMYFUNCTION("IF(Y378&lt;&gt;"""", GOOGLETRANSLATE(Y378, ""RO"", ""EN""), """")"),"")</f>
        <v/>
      </c>
      <c r="P378" s="4" t="s">
        <v>471</v>
      </c>
      <c r="Q378" s="4" t="s">
        <v>472</v>
      </c>
      <c r="R378" s="4" t="s">
        <v>473</v>
      </c>
      <c r="S378" s="4" t="s">
        <v>103</v>
      </c>
      <c r="T378" s="4" t="s">
        <v>104</v>
      </c>
      <c r="U378" s="4" t="s">
        <v>474</v>
      </c>
    </row>
    <row r="379" ht="15.75" customHeight="1">
      <c r="A379" s="4" t="s">
        <v>1211</v>
      </c>
      <c r="B379" s="4" t="s">
        <v>1212</v>
      </c>
      <c r="C379" s="4" t="str">
        <f>IFERROR(__xludf.DUMMYFUNCTION("GOOGLETRANSLATE(B379, ""RO"", ""EN"")"),"At this moment do you know very safe with whom you will vote?")</f>
        <v>At this moment do you know very safe with whom you will vote?</v>
      </c>
      <c r="D379" s="5" t="str">
        <f>IFERROR(__xludf.DUMMYFUNCTION("IF(O379&lt;&gt;"""", GOOGLETRANSLATE(O379, ""RO"", ""EN""), """")"),"")</f>
        <v/>
      </c>
      <c r="E379" s="6" t="str">
        <f>IFERROR(__xludf.DUMMYFUNCTION("IF(P379&lt;&gt;"""", GOOGLETRANSLATE(P379, ""RO"", ""EN""), """")"),"Yes I know very sure")</f>
        <v>Yes I know very sure</v>
      </c>
      <c r="F379" s="5" t="str">
        <f>IFERROR(__xludf.DUMMYFUNCTION("IF(Q379&lt;&gt;"""", GOOGLETRANSLATE(Q379, ""RO"", ""EN""), """")"),"No, I don't know very sure")</f>
        <v>No, I don't know very sure</v>
      </c>
      <c r="G379" s="5" t="str">
        <f>IFERROR(__xludf.DUMMYFUNCTION("IF(R379&lt;&gt;"""", GOOGLETRANSLATE(R379, ""RO"", ""EN""), """")"),"I do not vote")</f>
        <v>I do not vote</v>
      </c>
      <c r="H379" s="5" t="str">
        <f>IFERROR(__xludf.DUMMYFUNCTION("IF(U379&lt;&gt;"""", GOOGLETRANSLATE(U379, ""RO"", ""EN""), """")"),"")</f>
        <v/>
      </c>
      <c r="I379" s="5" t="str">
        <f>IFERROR(__xludf.DUMMYFUNCTION("IF(V379&lt;&gt;"""", GOOGLETRANSLATE(V379, ""RO"", ""EN""), """")"),"")</f>
        <v/>
      </c>
      <c r="J379" s="5" t="str">
        <f>IFERROR(__xludf.DUMMYFUNCTION("IF(W379&lt;&gt;"""", GOOGLETRANSLATE(W379, ""RO"", ""EN""), """")"),"")</f>
        <v/>
      </c>
      <c r="K379" s="5" t="str">
        <f>IFERROR(__xludf.DUMMYFUNCTION("IF(X379&lt;&gt;"""", GOOGLETRANSLATE(X379, ""RO"", ""EN""), """")"),"")</f>
        <v/>
      </c>
      <c r="L379" s="5" t="str">
        <f>IFERROR(__xludf.DUMMYFUNCTION("IF(S379&lt;&gt;"""", GOOGLETRANSLATE(S379, ""RO"", ""EN""), """")"),"")</f>
        <v/>
      </c>
      <c r="M379" s="5" t="str">
        <f>IFERROR(__xludf.DUMMYFUNCTION("IF(T379&lt;&gt;"""", GOOGLETRANSLATE(T379, ""RO"", ""EN""), """")"),"No.")</f>
        <v>No.</v>
      </c>
      <c r="N379" s="5" t="str">
        <f>IFERROR(__xludf.DUMMYFUNCTION("IF(Y379&lt;&gt;"""", GOOGLETRANSLATE(Y379, ""RO"", ""EN""), """")"),"")</f>
        <v/>
      </c>
      <c r="P379" s="4" t="s">
        <v>479</v>
      </c>
      <c r="Q379" s="4" t="s">
        <v>480</v>
      </c>
      <c r="R379" s="4" t="s">
        <v>481</v>
      </c>
      <c r="T379" s="4" t="s">
        <v>104</v>
      </c>
    </row>
    <row r="380" ht="15.75" customHeight="1">
      <c r="A380" s="4" t="s">
        <v>1213</v>
      </c>
      <c r="B380" s="4" t="s">
        <v>1214</v>
      </c>
      <c r="C380" s="4" t="str">
        <f>IFERROR(__xludf.DUMMYFUNCTION("GOOGLETRANSLATE(B380, ""RO"", ""EN"")"),"What is the candidate with whom you will vote in the presidential elections in round 2?")</f>
        <v>What is the candidate with whom you will vote in the presidential elections in round 2?</v>
      </c>
      <c r="D380" s="5" t="str">
        <f>IFERROR(__xludf.DUMMYFUNCTION("IF(O380&lt;&gt;"""", GOOGLETRANSLATE(O380, ""RO"", ""EN""), """")"),"")</f>
        <v/>
      </c>
      <c r="E380" s="6" t="str">
        <f>IFERROR(__xludf.DUMMYFUNCTION("IF(P380&lt;&gt;"""", GOOGLETRANSLATE(P380, ""RO"", ""EN""), """")"),"Mircea Geoana")</f>
        <v>Mircea Geoana</v>
      </c>
      <c r="F380" s="5" t="str">
        <f>IFERROR(__xludf.DUMMYFUNCTION("IF(Q380&lt;&gt;"""", GOOGLETRANSLATE(Q380, ""RO"", ""EN""), """")"),"")</f>
        <v/>
      </c>
      <c r="G380" s="5" t="str">
        <f>IFERROR(__xludf.DUMMYFUNCTION("IF(R380&lt;&gt;"""", GOOGLETRANSLATE(R380, ""RO"", ""EN""), """")"),"Traian Basescu")</f>
        <v>Traian Basescu</v>
      </c>
      <c r="H380" s="5" t="str">
        <f>IFERROR(__xludf.DUMMYFUNCTION("IF(U380&lt;&gt;"""", GOOGLETRANSLATE(U380, ""RO"", ""EN""), """")"),"")</f>
        <v/>
      </c>
      <c r="I380" s="5" t="str">
        <f>IFERROR(__xludf.DUMMYFUNCTION("IF(V380&lt;&gt;"""", GOOGLETRANSLATE(V380, ""RO"", ""EN""), """")"),"")</f>
        <v/>
      </c>
      <c r="J380" s="5" t="str">
        <f>IFERROR(__xludf.DUMMYFUNCTION("IF(W380&lt;&gt;"""", GOOGLETRANSLATE(W380, ""RO"", ""EN""), """")"),"")</f>
        <v/>
      </c>
      <c r="K380" s="5" t="str">
        <f>IFERROR(__xludf.DUMMYFUNCTION("IF(X380&lt;&gt;"""", GOOGLETRANSLATE(X380, ""RO"", ""EN""), """")"),"")</f>
        <v/>
      </c>
      <c r="L380" s="5" t="str">
        <f>IFERROR(__xludf.DUMMYFUNCTION("IF(S380&lt;&gt;"""", GOOGLETRANSLATE(S380, ""RO"", ""EN""), """")"),"")</f>
        <v/>
      </c>
      <c r="M380" s="5" t="str">
        <f>IFERROR(__xludf.DUMMYFUNCTION("IF(T380&lt;&gt;"""", GOOGLETRANSLATE(T380, ""RO"", ""EN""), """")"),"")</f>
        <v/>
      </c>
      <c r="N380" s="5" t="str">
        <f>IFERROR(__xludf.DUMMYFUNCTION("IF(Y380&lt;&gt;"""", GOOGLETRANSLATE(Y380, ""RO"", ""EN""), """")"),"")</f>
        <v/>
      </c>
      <c r="P380" s="4" t="s">
        <v>219</v>
      </c>
      <c r="R380" s="4" t="s">
        <v>221</v>
      </c>
      <c r="Z380" s="4" t="s">
        <v>486</v>
      </c>
      <c r="AA380" s="4" t="s">
        <v>1215</v>
      </c>
      <c r="AB380" s="4" t="s">
        <v>215</v>
      </c>
      <c r="AC380" s="4" t="s">
        <v>488</v>
      </c>
      <c r="AD380" s="4" t="s">
        <v>489</v>
      </c>
    </row>
    <row r="381" ht="15.75" customHeight="1">
      <c r="A381" s="4" t="s">
        <v>1216</v>
      </c>
      <c r="B381" s="4" t="s">
        <v>1217</v>
      </c>
      <c r="C381" s="4" t="str">
        <f>IFERROR(__xludf.DUMMYFUNCTION("GOOGLETRANSLATE(B381, ""RO"", ""EN"")"),"Your preference for annswerfrom (v2cbis) is ...?")</f>
        <v>Your preference for annswerfrom (v2cbis) is ...?</v>
      </c>
      <c r="D381" s="5" t="str">
        <f>IFERROR(__xludf.DUMMYFUNCTION("IF(O381&lt;&gt;"""", GOOGLETRANSLATE(O381, ""RO"", ""EN""), """")"),"")</f>
        <v/>
      </c>
      <c r="E381" s="6" t="str">
        <f>IFERROR(__xludf.DUMMYFUNCTION("IF(P381&lt;&gt;"""", GOOGLETRANSLATE(P381, ""RO"", ""EN""), """")"),"very strong")</f>
        <v>very strong</v>
      </c>
      <c r="F381" s="5" t="str">
        <f>IFERROR(__xludf.DUMMYFUNCTION("IF(Q381&lt;&gt;"""", GOOGLETRANSLATE(Q381, ""RO"", ""EN""), """")"),"strong")</f>
        <v>strong</v>
      </c>
      <c r="G381" s="5" t="str">
        <f>IFERROR(__xludf.DUMMYFUNCTION("IF(R381&lt;&gt;"""", GOOGLETRANSLATE(R381, ""RO"", ""EN""), """")"),"average")</f>
        <v>average</v>
      </c>
      <c r="H381" s="5" t="str">
        <f>IFERROR(__xludf.DUMMYFUNCTION("IF(U381&lt;&gt;"""", GOOGLETRANSLATE(U381, ""RO"", ""EN""), """")"),"POOR")</f>
        <v>POOR</v>
      </c>
      <c r="I381" s="5" t="str">
        <f>IFERROR(__xludf.DUMMYFUNCTION("IF(V381&lt;&gt;"""", GOOGLETRANSLATE(V381, ""RO"", ""EN""), """")"),"very thin")</f>
        <v>very thin</v>
      </c>
      <c r="J381" s="5" t="str">
        <f>IFERROR(__xludf.DUMMYFUNCTION("IF(W381&lt;&gt;"""", GOOGLETRANSLATE(W381, ""RO"", ""EN""), """")"),"")</f>
        <v/>
      </c>
      <c r="K381" s="5" t="str">
        <f>IFERROR(__xludf.DUMMYFUNCTION("IF(X381&lt;&gt;"""", GOOGLETRANSLATE(X381, ""RO"", ""EN""), """")"),"")</f>
        <v/>
      </c>
      <c r="L381" s="5" t="str">
        <f>IFERROR(__xludf.DUMMYFUNCTION("IF(S381&lt;&gt;"""", GOOGLETRANSLATE(S381, ""RO"", ""EN""), """")"),"Ns")</f>
        <v>Ns</v>
      </c>
      <c r="M381" s="5" t="str">
        <f>IFERROR(__xludf.DUMMYFUNCTION("IF(T381&lt;&gt;"""", GOOGLETRANSLATE(T381, ""RO"", ""EN""), """")"),"No.")</f>
        <v>No.</v>
      </c>
      <c r="N381" s="5" t="str">
        <f>IFERROR(__xludf.DUMMYFUNCTION("IF(Y381&lt;&gt;"""", GOOGLETRANSLATE(Y381, ""RO"", ""EN""), """")"),"")</f>
        <v/>
      </c>
      <c r="P381" s="4" t="s">
        <v>494</v>
      </c>
      <c r="Q381" s="4" t="s">
        <v>495</v>
      </c>
      <c r="R381" s="4" t="s">
        <v>496</v>
      </c>
      <c r="S381" s="4" t="s">
        <v>103</v>
      </c>
      <c r="T381" s="4" t="s">
        <v>104</v>
      </c>
      <c r="U381" s="4" t="s">
        <v>497</v>
      </c>
      <c r="V381" s="4" t="s">
        <v>498</v>
      </c>
    </row>
    <row r="382" ht="15.75" customHeight="1">
      <c r="A382" s="4" t="s">
        <v>1218</v>
      </c>
      <c r="B382" s="4" t="s">
        <v>1219</v>
      </c>
      <c r="C382" s="4" t="str">
        <f>IFERROR(__xludf.DUMMYFUNCTION("GOOGLETRANSLATE(B382, ""RO"", ""EN"")"),"What is the reason why you will vote with this candidate?")</f>
        <v>What is the reason why you will vote with this candidate?</v>
      </c>
      <c r="D382" s="5" t="str">
        <f>IFERROR(__xludf.DUMMYFUNCTION("IF(O382&lt;&gt;"""", GOOGLETRANSLATE(O382, ""RO"", ""EN""), """")"),"")</f>
        <v/>
      </c>
      <c r="E382" s="6" t="str">
        <f>IFERROR(__xludf.DUMMYFUNCTION("IF(P382&lt;&gt;"""", GOOGLETRANSLATE(P382, ""RO"", ""EN""), """")"),"you want to win this")</f>
        <v>you want to win this</v>
      </c>
      <c r="F382" s="5" t="str">
        <f>IFERROR(__xludf.DUMMYFUNCTION("IF(Q382&lt;&gt;"""", GOOGLETRANSLATE(Q382, ""RO"", ""EN""), """")"),"you want to not win the other")</f>
        <v>you want to not win the other</v>
      </c>
      <c r="G382" s="5" t="str">
        <f>IFERROR(__xludf.DUMMYFUNCTION("IF(R382&lt;&gt;"""", GOOGLETRANSLATE(R382, ""RO"", ""EN""), """")"),"another reason")</f>
        <v>another reason</v>
      </c>
      <c r="H382" s="5" t="str">
        <f>IFERROR(__xludf.DUMMYFUNCTION("IF(U382&lt;&gt;"""", GOOGLETRANSLATE(U382, ""RO"", ""EN""), """")"),"")</f>
        <v/>
      </c>
      <c r="I382" s="5" t="str">
        <f>IFERROR(__xludf.DUMMYFUNCTION("IF(V382&lt;&gt;"""", GOOGLETRANSLATE(V382, ""RO"", ""EN""), """")"),"")</f>
        <v/>
      </c>
      <c r="J382" s="5" t="str">
        <f>IFERROR(__xludf.DUMMYFUNCTION("IF(W382&lt;&gt;"""", GOOGLETRANSLATE(W382, ""RO"", ""EN""), """")"),"")</f>
        <v/>
      </c>
      <c r="K382" s="5" t="str">
        <f>IFERROR(__xludf.DUMMYFUNCTION("IF(X382&lt;&gt;"""", GOOGLETRANSLATE(X382, ""RO"", ""EN""), """")"),"")</f>
        <v/>
      </c>
      <c r="L382" s="5" t="str">
        <f>IFERROR(__xludf.DUMMYFUNCTION("IF(S382&lt;&gt;"""", GOOGLETRANSLATE(S382, ""RO"", ""EN""), """")"),"Ns")</f>
        <v>Ns</v>
      </c>
      <c r="M382" s="5" t="str">
        <f>IFERROR(__xludf.DUMMYFUNCTION("IF(T382&lt;&gt;"""", GOOGLETRANSLATE(T382, ""RO"", ""EN""), """")"),"No.")</f>
        <v>No.</v>
      </c>
      <c r="N382" s="5" t="str">
        <f>IFERROR(__xludf.DUMMYFUNCTION("IF(Y382&lt;&gt;"""", GOOGLETRANSLATE(Y382, ""RO"", ""EN""), """")"),"")</f>
        <v/>
      </c>
      <c r="P382" s="4" t="s">
        <v>1220</v>
      </c>
      <c r="Q382" s="4" t="s">
        <v>1221</v>
      </c>
      <c r="R382" s="4" t="s">
        <v>1222</v>
      </c>
      <c r="S382" s="4" t="s">
        <v>103</v>
      </c>
      <c r="T382" s="4" t="s">
        <v>104</v>
      </c>
    </row>
    <row r="383" ht="15.75" customHeight="1">
      <c r="A383" s="4" t="s">
        <v>1223</v>
      </c>
      <c r="B383" s="4" t="s">
        <v>1224</v>
      </c>
      <c r="C383" s="4" t="str">
        <f>IFERROR(__xludf.DUMMYFUNCTION("GOOGLETRANSLATE(B383, ""RO"", ""EN"")"),"... Vote with Mircea Geoana")</f>
        <v>... Vote with Mircea Geoana</v>
      </c>
      <c r="D383" s="5" t="str">
        <f>IFERROR(__xludf.DUMMYFUNCTION("IF(O383&lt;&gt;"""", GOOGLETRANSLATE(O383, ""RO"", ""EN""), """")"),"")</f>
        <v/>
      </c>
      <c r="E383" s="6" t="str">
        <f>IFERROR(__xludf.DUMMYFUNCTION("IF(P383&lt;&gt;"""", GOOGLETRANSLATE(P383, ""RO"", ""EN""), """")"),"mention")</f>
        <v>mention</v>
      </c>
      <c r="F383" s="5" t="str">
        <f>IFERROR(__xludf.DUMMYFUNCTION("IF(Q383&lt;&gt;"""", GOOGLETRANSLATE(Q383, ""RO"", ""EN""), """")"),"does not mention")</f>
        <v>does not mention</v>
      </c>
      <c r="G383" s="5" t="str">
        <f>IFERROR(__xludf.DUMMYFUNCTION("IF(R383&lt;&gt;"""", GOOGLETRANSLATE(R383, ""RO"", ""EN""), """")"),"")</f>
        <v/>
      </c>
      <c r="H383" s="5" t="str">
        <f>IFERROR(__xludf.DUMMYFUNCTION("IF(U383&lt;&gt;"""", GOOGLETRANSLATE(U383, ""RO"", ""EN""), """")"),"")</f>
        <v/>
      </c>
      <c r="I383" s="5" t="str">
        <f>IFERROR(__xludf.DUMMYFUNCTION("IF(V383&lt;&gt;"""", GOOGLETRANSLATE(V383, ""RO"", ""EN""), """")"),"")</f>
        <v/>
      </c>
      <c r="J383" s="5" t="str">
        <f>IFERROR(__xludf.DUMMYFUNCTION("IF(W383&lt;&gt;"""", GOOGLETRANSLATE(W383, ""RO"", ""EN""), """")"),"")</f>
        <v/>
      </c>
      <c r="K383" s="5" t="str">
        <f>IFERROR(__xludf.DUMMYFUNCTION("IF(X383&lt;&gt;"""", GOOGLETRANSLATE(X383, ""RO"", ""EN""), """")"),"Nc")</f>
        <v>Nc</v>
      </c>
      <c r="L383" s="5" t="str">
        <f>IFERROR(__xludf.DUMMYFUNCTION("IF(S383&lt;&gt;"""", GOOGLETRANSLATE(S383, ""RO"", ""EN""), """")"),"Ns")</f>
        <v>Ns</v>
      </c>
      <c r="M383" s="5" t="str">
        <f>IFERROR(__xludf.DUMMYFUNCTION("IF(T383&lt;&gt;"""", GOOGLETRANSLATE(T383, ""RO"", ""EN""), """")"),"No.")</f>
        <v>No.</v>
      </c>
      <c r="N383" s="5" t="str">
        <f>IFERROR(__xludf.DUMMYFUNCTION("IF(Y383&lt;&gt;"""", GOOGLETRANSLATE(Y383, ""RO"", ""EN""), """")"),"")</f>
        <v/>
      </c>
      <c r="P383" s="4" t="s">
        <v>1225</v>
      </c>
      <c r="Q383" s="4" t="s">
        <v>1226</v>
      </c>
      <c r="S383" s="4" t="s">
        <v>103</v>
      </c>
      <c r="T383" s="4" t="s">
        <v>104</v>
      </c>
      <c r="X383" s="4" t="s">
        <v>177</v>
      </c>
    </row>
    <row r="384" ht="15.75" customHeight="1">
      <c r="A384" s="4" t="s">
        <v>1227</v>
      </c>
      <c r="B384" s="4" t="s">
        <v>514</v>
      </c>
      <c r="C384" s="4" t="str">
        <f>IFERROR(__xludf.DUMMYFUNCTION("GOOGLETRANSLATE(B384, ""RO"", ""EN"")"),"... Vote with Traian Basescu")</f>
        <v>... Vote with Traian Basescu</v>
      </c>
      <c r="D384" s="5" t="str">
        <f>IFERROR(__xludf.DUMMYFUNCTION("IF(O384&lt;&gt;"""", GOOGLETRANSLATE(O384, ""RO"", ""EN""), """")"),"")</f>
        <v/>
      </c>
      <c r="E384" s="6" t="str">
        <f>IFERROR(__xludf.DUMMYFUNCTION("IF(P384&lt;&gt;"""", GOOGLETRANSLATE(P384, ""RO"", ""EN""), """")"),"mention")</f>
        <v>mention</v>
      </c>
      <c r="F384" s="5" t="str">
        <f>IFERROR(__xludf.DUMMYFUNCTION("IF(Q384&lt;&gt;"""", GOOGLETRANSLATE(Q384, ""RO"", ""EN""), """")"),"does not mention")</f>
        <v>does not mention</v>
      </c>
      <c r="G384" s="5" t="str">
        <f>IFERROR(__xludf.DUMMYFUNCTION("IF(R384&lt;&gt;"""", GOOGLETRANSLATE(R384, ""RO"", ""EN""), """")"),"")</f>
        <v/>
      </c>
      <c r="H384" s="5" t="str">
        <f>IFERROR(__xludf.DUMMYFUNCTION("IF(U384&lt;&gt;"""", GOOGLETRANSLATE(U384, ""RO"", ""EN""), """")"),"")</f>
        <v/>
      </c>
      <c r="I384" s="5" t="str">
        <f>IFERROR(__xludf.DUMMYFUNCTION("IF(V384&lt;&gt;"""", GOOGLETRANSLATE(V384, ""RO"", ""EN""), """")"),"")</f>
        <v/>
      </c>
      <c r="J384" s="5" t="str">
        <f>IFERROR(__xludf.DUMMYFUNCTION("IF(W384&lt;&gt;"""", GOOGLETRANSLATE(W384, ""RO"", ""EN""), """")"),"")</f>
        <v/>
      </c>
      <c r="K384" s="5" t="str">
        <f>IFERROR(__xludf.DUMMYFUNCTION("IF(X384&lt;&gt;"""", GOOGLETRANSLATE(X384, ""RO"", ""EN""), """")"),"Nc")</f>
        <v>Nc</v>
      </c>
      <c r="L384" s="5" t="str">
        <f>IFERROR(__xludf.DUMMYFUNCTION("IF(S384&lt;&gt;"""", GOOGLETRANSLATE(S384, ""RO"", ""EN""), """")"),"Ns")</f>
        <v>Ns</v>
      </c>
      <c r="M384" s="5" t="str">
        <f>IFERROR(__xludf.DUMMYFUNCTION("IF(T384&lt;&gt;"""", GOOGLETRANSLATE(T384, ""RO"", ""EN""), """")"),"No.")</f>
        <v>No.</v>
      </c>
      <c r="N384" s="5" t="str">
        <f>IFERROR(__xludf.DUMMYFUNCTION("IF(Y384&lt;&gt;"""", GOOGLETRANSLATE(Y384, ""RO"", ""EN""), """")"),"")</f>
        <v/>
      </c>
      <c r="P384" s="4" t="s">
        <v>1225</v>
      </c>
      <c r="Q384" s="4" t="s">
        <v>1226</v>
      </c>
      <c r="S384" s="4" t="s">
        <v>103</v>
      </c>
      <c r="T384" s="4" t="s">
        <v>104</v>
      </c>
      <c r="X384" s="4" t="s">
        <v>177</v>
      </c>
    </row>
    <row r="385" ht="15.75" customHeight="1">
      <c r="A385" s="4" t="s">
        <v>1228</v>
      </c>
      <c r="B385" s="4" t="s">
        <v>1229</v>
      </c>
      <c r="C385" s="4" t="str">
        <f>IFERROR(__xludf.DUMMYFUNCTION("GOOGLETRANSLATE(B385, ""RO"", ""EN"")"),"... don't put the stamp on any candidate")</f>
        <v>... don't put the stamp on any candidate</v>
      </c>
      <c r="D385" s="5" t="str">
        <f>IFERROR(__xludf.DUMMYFUNCTION("IF(O385&lt;&gt;"""", GOOGLETRANSLATE(O385, ""RO"", ""EN""), """")"),"")</f>
        <v/>
      </c>
      <c r="E385" s="6" t="str">
        <f>IFERROR(__xludf.DUMMYFUNCTION("IF(P385&lt;&gt;"""", GOOGLETRANSLATE(P385, ""RO"", ""EN""), """")"),"mention")</f>
        <v>mention</v>
      </c>
      <c r="F385" s="5" t="str">
        <f>IFERROR(__xludf.DUMMYFUNCTION("IF(Q385&lt;&gt;"""", GOOGLETRANSLATE(Q385, ""RO"", ""EN""), """")"),"does not mention")</f>
        <v>does not mention</v>
      </c>
      <c r="G385" s="5" t="str">
        <f>IFERROR(__xludf.DUMMYFUNCTION("IF(R385&lt;&gt;"""", GOOGLETRANSLATE(R385, ""RO"", ""EN""), """")"),"")</f>
        <v/>
      </c>
      <c r="H385" s="5" t="str">
        <f>IFERROR(__xludf.DUMMYFUNCTION("IF(U385&lt;&gt;"""", GOOGLETRANSLATE(U385, ""RO"", ""EN""), """")"),"")</f>
        <v/>
      </c>
      <c r="I385" s="5" t="str">
        <f>IFERROR(__xludf.DUMMYFUNCTION("IF(V385&lt;&gt;"""", GOOGLETRANSLATE(V385, ""RO"", ""EN""), """")"),"")</f>
        <v/>
      </c>
      <c r="J385" s="5" t="str">
        <f>IFERROR(__xludf.DUMMYFUNCTION("IF(W385&lt;&gt;"""", GOOGLETRANSLATE(W385, ""RO"", ""EN""), """")"),"")</f>
        <v/>
      </c>
      <c r="K385" s="5" t="str">
        <f>IFERROR(__xludf.DUMMYFUNCTION("IF(X385&lt;&gt;"""", GOOGLETRANSLATE(X385, ""RO"", ""EN""), """")"),"Nc")</f>
        <v>Nc</v>
      </c>
      <c r="L385" s="5" t="str">
        <f>IFERROR(__xludf.DUMMYFUNCTION("IF(S385&lt;&gt;"""", GOOGLETRANSLATE(S385, ""RO"", ""EN""), """")"),"Ns")</f>
        <v>Ns</v>
      </c>
      <c r="M385" s="5" t="str">
        <f>IFERROR(__xludf.DUMMYFUNCTION("IF(T385&lt;&gt;"""", GOOGLETRANSLATE(T385, ""RO"", ""EN""), """")"),"No.")</f>
        <v>No.</v>
      </c>
      <c r="N385" s="5" t="str">
        <f>IFERROR(__xludf.DUMMYFUNCTION("IF(Y385&lt;&gt;"""", GOOGLETRANSLATE(Y385, ""RO"", ""EN""), """")"),"")</f>
        <v/>
      </c>
      <c r="P385" s="4" t="s">
        <v>1225</v>
      </c>
      <c r="Q385" s="4" t="s">
        <v>1226</v>
      </c>
      <c r="S385" s="4" t="s">
        <v>103</v>
      </c>
      <c r="T385" s="4" t="s">
        <v>104</v>
      </c>
      <c r="X385" s="4" t="s">
        <v>177</v>
      </c>
    </row>
    <row r="386" ht="15.75" customHeight="1">
      <c r="A386" s="4" t="s">
        <v>1230</v>
      </c>
      <c r="B386" s="4" t="s">
        <v>528</v>
      </c>
      <c r="C386" s="4" t="str">
        <f>IFERROR(__xludf.DUMMYFUNCTION("GOOGLETRANSLATE(B386, ""RO"", ""EN"")"),"... to put the stamp on several candidates (vote canceled)")</f>
        <v>... to put the stamp on several candidates (vote canceled)</v>
      </c>
      <c r="D386" s="5" t="str">
        <f>IFERROR(__xludf.DUMMYFUNCTION("IF(O386&lt;&gt;"""", GOOGLETRANSLATE(O386, ""RO"", ""EN""), """")"),"")</f>
        <v/>
      </c>
      <c r="E386" s="6" t="str">
        <f>IFERROR(__xludf.DUMMYFUNCTION("IF(P386&lt;&gt;"""", GOOGLETRANSLATE(P386, ""RO"", ""EN""), """")"),"mention")</f>
        <v>mention</v>
      </c>
      <c r="F386" s="5" t="str">
        <f>IFERROR(__xludf.DUMMYFUNCTION("IF(Q386&lt;&gt;"""", GOOGLETRANSLATE(Q386, ""RO"", ""EN""), """")"),"does not mention")</f>
        <v>does not mention</v>
      </c>
      <c r="G386" s="5" t="str">
        <f>IFERROR(__xludf.DUMMYFUNCTION("IF(R386&lt;&gt;"""", GOOGLETRANSLATE(R386, ""RO"", ""EN""), """")"),"")</f>
        <v/>
      </c>
      <c r="H386" s="5" t="str">
        <f>IFERROR(__xludf.DUMMYFUNCTION("IF(U386&lt;&gt;"""", GOOGLETRANSLATE(U386, ""RO"", ""EN""), """")"),"")</f>
        <v/>
      </c>
      <c r="I386" s="5" t="str">
        <f>IFERROR(__xludf.DUMMYFUNCTION("IF(V386&lt;&gt;"""", GOOGLETRANSLATE(V386, ""RO"", ""EN""), """")"),"")</f>
        <v/>
      </c>
      <c r="J386" s="5" t="str">
        <f>IFERROR(__xludf.DUMMYFUNCTION("IF(W386&lt;&gt;"""", GOOGLETRANSLATE(W386, ""RO"", ""EN""), """")"),"")</f>
        <v/>
      </c>
      <c r="K386" s="5" t="str">
        <f>IFERROR(__xludf.DUMMYFUNCTION("IF(X386&lt;&gt;"""", GOOGLETRANSLATE(X386, ""RO"", ""EN""), """")"),"Nc")</f>
        <v>Nc</v>
      </c>
      <c r="L386" s="5" t="str">
        <f>IFERROR(__xludf.DUMMYFUNCTION("IF(S386&lt;&gt;"""", GOOGLETRANSLATE(S386, ""RO"", ""EN""), """")"),"Ns")</f>
        <v>Ns</v>
      </c>
      <c r="M386" s="5" t="str">
        <f>IFERROR(__xludf.DUMMYFUNCTION("IF(T386&lt;&gt;"""", GOOGLETRANSLATE(T386, ""RO"", ""EN""), """")"),"No.")</f>
        <v>No.</v>
      </c>
      <c r="N386" s="5" t="str">
        <f>IFERROR(__xludf.DUMMYFUNCTION("IF(Y386&lt;&gt;"""", GOOGLETRANSLATE(Y386, ""RO"", ""EN""), """")"),"")</f>
        <v/>
      </c>
      <c r="P386" s="4" t="s">
        <v>1225</v>
      </c>
      <c r="Q386" s="4" t="s">
        <v>1226</v>
      </c>
      <c r="S386" s="4" t="s">
        <v>103</v>
      </c>
      <c r="T386" s="4" t="s">
        <v>104</v>
      </c>
      <c r="X386" s="4" t="s">
        <v>177</v>
      </c>
    </row>
    <row r="387" ht="15.75" customHeight="1">
      <c r="A387" s="4" t="s">
        <v>1231</v>
      </c>
      <c r="B387" s="4" t="s">
        <v>530</v>
      </c>
      <c r="C387" s="4" t="str">
        <f>IFERROR(__xludf.DUMMYFUNCTION("GOOGLETRANSLATE(B387, ""RO"", ""EN"")"),"... don't go to vote")</f>
        <v>... don't go to vote</v>
      </c>
      <c r="D387" s="5" t="str">
        <f>IFERROR(__xludf.DUMMYFUNCTION("IF(O387&lt;&gt;"""", GOOGLETRANSLATE(O387, ""RO"", ""EN""), """")"),"")</f>
        <v/>
      </c>
      <c r="E387" s="6" t="str">
        <f>IFERROR(__xludf.DUMMYFUNCTION("IF(P387&lt;&gt;"""", GOOGLETRANSLATE(P387, ""RO"", ""EN""), """")"),"mention")</f>
        <v>mention</v>
      </c>
      <c r="F387" s="5" t="str">
        <f>IFERROR(__xludf.DUMMYFUNCTION("IF(Q387&lt;&gt;"""", GOOGLETRANSLATE(Q387, ""RO"", ""EN""), """")"),"does not mention")</f>
        <v>does not mention</v>
      </c>
      <c r="G387" s="5" t="str">
        <f>IFERROR(__xludf.DUMMYFUNCTION("IF(R387&lt;&gt;"""", GOOGLETRANSLATE(R387, ""RO"", ""EN""), """")"),"")</f>
        <v/>
      </c>
      <c r="H387" s="5" t="str">
        <f>IFERROR(__xludf.DUMMYFUNCTION("IF(U387&lt;&gt;"""", GOOGLETRANSLATE(U387, ""RO"", ""EN""), """")"),"")</f>
        <v/>
      </c>
      <c r="I387" s="5" t="str">
        <f>IFERROR(__xludf.DUMMYFUNCTION("IF(V387&lt;&gt;"""", GOOGLETRANSLATE(V387, ""RO"", ""EN""), """")"),"")</f>
        <v/>
      </c>
      <c r="J387" s="5" t="str">
        <f>IFERROR(__xludf.DUMMYFUNCTION("IF(W387&lt;&gt;"""", GOOGLETRANSLATE(W387, ""RO"", ""EN""), """")"),"")</f>
        <v/>
      </c>
      <c r="K387" s="5" t="str">
        <f>IFERROR(__xludf.DUMMYFUNCTION("IF(X387&lt;&gt;"""", GOOGLETRANSLATE(X387, ""RO"", ""EN""), """")"),"Nc")</f>
        <v>Nc</v>
      </c>
      <c r="L387" s="5" t="str">
        <f>IFERROR(__xludf.DUMMYFUNCTION("IF(S387&lt;&gt;"""", GOOGLETRANSLATE(S387, ""RO"", ""EN""), """")"),"Ns")</f>
        <v>Ns</v>
      </c>
      <c r="M387" s="5" t="str">
        <f>IFERROR(__xludf.DUMMYFUNCTION("IF(T387&lt;&gt;"""", GOOGLETRANSLATE(T387, ""RO"", ""EN""), """")"),"No.")</f>
        <v>No.</v>
      </c>
      <c r="N387" s="5" t="str">
        <f>IFERROR(__xludf.DUMMYFUNCTION("IF(Y387&lt;&gt;"""", GOOGLETRANSLATE(Y387, ""RO"", ""EN""), """")"),"")</f>
        <v/>
      </c>
      <c r="P387" s="4" t="s">
        <v>1225</v>
      </c>
      <c r="Q387" s="4" t="s">
        <v>1226</v>
      </c>
      <c r="S387" s="4" t="s">
        <v>103</v>
      </c>
      <c r="T387" s="4" t="s">
        <v>104</v>
      </c>
      <c r="X387" s="4" t="s">
        <v>177</v>
      </c>
    </row>
    <row r="388" ht="15.75" customHeight="1">
      <c r="A388" s="4" t="s">
        <v>1232</v>
      </c>
      <c r="B388" s="4" t="s">
        <v>534</v>
      </c>
      <c r="C388" s="4" t="str">
        <f>IFERROR(__xludf.DUMMYFUNCTION("GOOGLETRANSLATE(B388, ""RO"", ""EN"")"),"And yet, if you voted, which candidate would you give him to the presidential elections?")</f>
        <v>And yet, if you voted, which candidate would you give him to the presidential elections?</v>
      </c>
      <c r="D388" s="5" t="str">
        <f>IFERROR(__xludf.DUMMYFUNCTION("IF(O388&lt;&gt;"""", GOOGLETRANSLATE(O388, ""RO"", ""EN""), """")"),"")</f>
        <v/>
      </c>
      <c r="E388" s="6" t="str">
        <f>IFERROR(__xludf.DUMMYFUNCTION("IF(P388&lt;&gt;"""", GOOGLETRANSLATE(P388, ""RO"", ""EN""), """")"),"Mircea Geoana")</f>
        <v>Mircea Geoana</v>
      </c>
      <c r="F388" s="5" t="str">
        <f>IFERROR(__xludf.DUMMYFUNCTION("IF(Q388&lt;&gt;"""", GOOGLETRANSLATE(Q388, ""RO"", ""EN""), """")"),"")</f>
        <v/>
      </c>
      <c r="G388" s="5" t="str">
        <f>IFERROR(__xludf.DUMMYFUNCTION("IF(R388&lt;&gt;"""", GOOGLETRANSLATE(R388, ""RO"", ""EN""), """")"),"Traian Basescu")</f>
        <v>Traian Basescu</v>
      </c>
      <c r="H388" s="5" t="str">
        <f>IFERROR(__xludf.DUMMYFUNCTION("IF(U388&lt;&gt;"""", GOOGLETRANSLATE(U388, ""RO"", ""EN""), """")"),"")</f>
        <v/>
      </c>
      <c r="I388" s="5" t="str">
        <f>IFERROR(__xludf.DUMMYFUNCTION("IF(V388&lt;&gt;"""", GOOGLETRANSLATE(V388, ""RO"", ""EN""), """")"),"")</f>
        <v/>
      </c>
      <c r="J388" s="5" t="str">
        <f>IFERROR(__xludf.DUMMYFUNCTION("IF(W388&lt;&gt;"""", GOOGLETRANSLATE(W388, ""RO"", ""EN""), """")"),"")</f>
        <v/>
      </c>
      <c r="K388" s="5" t="str">
        <f>IFERROR(__xludf.DUMMYFUNCTION("IF(X388&lt;&gt;"""", GOOGLETRANSLATE(X388, ""RO"", ""EN""), """")"),"")</f>
        <v/>
      </c>
      <c r="L388" s="5" t="str">
        <f>IFERROR(__xludf.DUMMYFUNCTION("IF(S388&lt;&gt;"""", GOOGLETRANSLATE(S388, ""RO"", ""EN""), """")"),"")</f>
        <v/>
      </c>
      <c r="M388" s="5" t="str">
        <f>IFERROR(__xludf.DUMMYFUNCTION("IF(T388&lt;&gt;"""", GOOGLETRANSLATE(T388, ""RO"", ""EN""), """")"),"")</f>
        <v/>
      </c>
      <c r="N388" s="5" t="str">
        <f>IFERROR(__xludf.DUMMYFUNCTION("IF(Y388&lt;&gt;"""", GOOGLETRANSLATE(Y388, ""RO"", ""EN""), """")"),"")</f>
        <v/>
      </c>
      <c r="P388" s="4" t="s">
        <v>219</v>
      </c>
      <c r="R388" s="4" t="s">
        <v>221</v>
      </c>
      <c r="Z388" s="4" t="s">
        <v>486</v>
      </c>
      <c r="AA388" s="4" t="s">
        <v>1215</v>
      </c>
      <c r="AB388" s="4" t="s">
        <v>215</v>
      </c>
      <c r="AC388" s="4" t="s">
        <v>488</v>
      </c>
      <c r="AD388" s="4" t="s">
        <v>489</v>
      </c>
      <c r="AE388" s="4" t="s">
        <v>1233</v>
      </c>
    </row>
    <row r="389" ht="15.75" customHeight="1">
      <c r="A389" s="4" t="s">
        <v>1234</v>
      </c>
      <c r="B389" s="4" t="s">
        <v>1235</v>
      </c>
      <c r="C389" s="4" t="str">
        <f>IFERROR(__xludf.DUMMYFUNCTION("GOOGLETRANSLATE(B389, ""RO"", ""EN"")"),"How big do you think will be the difference between the winner and the winner of the presidential election 2?")</f>
        <v>How big do you think will be the difference between the winner and the winner of the presidential election 2?</v>
      </c>
      <c r="D389" s="5" t="str">
        <f>IFERROR(__xludf.DUMMYFUNCTION("IF(O389&lt;&gt;"""", GOOGLETRANSLATE(O389, ""RO"", ""EN""), """")"),"")</f>
        <v/>
      </c>
      <c r="E389" s="6" t="str">
        <f>IFERROR(__xludf.DUMMYFUNCTION("IF(P389&lt;&gt;"""", GOOGLETRANSLATE(P389, ""RO"", ""EN""), """")"),"Very small")</f>
        <v>Very small</v>
      </c>
      <c r="F389" s="5" t="str">
        <f>IFERROR(__xludf.DUMMYFUNCTION("IF(Q389&lt;&gt;"""", GOOGLETRANSLATE(Q389, ""RO"", ""EN""), """")"),"Classified")</f>
        <v>Classified</v>
      </c>
      <c r="G389" s="5" t="str">
        <f>IFERROR(__xludf.DUMMYFUNCTION("IF(R389&lt;&gt;"""", GOOGLETRANSLATE(R389, ""RO"", ""EN""), """")"),"Big")</f>
        <v>Big</v>
      </c>
      <c r="H389" s="5" t="str">
        <f>IFERROR(__xludf.DUMMYFUNCTION("IF(U389&lt;&gt;"""", GOOGLETRANSLATE(U389, ""RO"", ""EN""), """")"),"Very big")</f>
        <v>Very big</v>
      </c>
      <c r="I389" s="5" t="str">
        <f>IFERROR(__xludf.DUMMYFUNCTION("IF(V389&lt;&gt;"""", GOOGLETRANSLATE(V389, ""RO"", ""EN""), """")"),"")</f>
        <v/>
      </c>
      <c r="J389" s="5" t="str">
        <f>IFERROR(__xludf.DUMMYFUNCTION("IF(W389&lt;&gt;"""", GOOGLETRANSLATE(W389, ""RO"", ""EN""), """")"),"")</f>
        <v/>
      </c>
      <c r="K389" s="5" t="str">
        <f>IFERROR(__xludf.DUMMYFUNCTION("IF(X389&lt;&gt;"""", GOOGLETRANSLATE(X389, ""RO"", ""EN""), """")"),"")</f>
        <v/>
      </c>
      <c r="L389" s="5" t="str">
        <f>IFERROR(__xludf.DUMMYFUNCTION("IF(S389&lt;&gt;"""", GOOGLETRANSLATE(S389, ""RO"", ""EN""), """")"),"Ns")</f>
        <v>Ns</v>
      </c>
      <c r="M389" s="5" t="str">
        <f>IFERROR(__xludf.DUMMYFUNCTION("IF(T389&lt;&gt;"""", GOOGLETRANSLATE(T389, ""RO"", ""EN""), """")"),"No.")</f>
        <v>No.</v>
      </c>
      <c r="N389" s="5" t="str">
        <f>IFERROR(__xludf.DUMMYFUNCTION("IF(Y389&lt;&gt;"""", GOOGLETRANSLATE(Y389, ""RO"", ""EN""), """")"),"")</f>
        <v/>
      </c>
      <c r="P389" s="4" t="s">
        <v>552</v>
      </c>
      <c r="Q389" s="4" t="s">
        <v>553</v>
      </c>
      <c r="R389" s="4" t="s">
        <v>554</v>
      </c>
      <c r="S389" s="4" t="s">
        <v>103</v>
      </c>
      <c r="T389" s="4" t="s">
        <v>104</v>
      </c>
      <c r="U389" s="4" t="s">
        <v>555</v>
      </c>
    </row>
    <row r="390" ht="15.75" customHeight="1">
      <c r="A390" s="4" t="s">
        <v>1236</v>
      </c>
      <c r="B390" s="4" t="s">
        <v>1237</v>
      </c>
      <c r="C390" s="4" t="str">
        <f>IFERROR(__xludf.DUMMYFUNCTION("GOOGLETRANSLATE(B390, ""RO"", ""EN"")"),"I know it's hard to say from now on, but who do you think will be the next president of Romania?")</f>
        <v>I know it's hard to say from now on, but who do you think will be the next president of Romania?</v>
      </c>
      <c r="D390" s="5" t="str">
        <f>IFERROR(__xludf.DUMMYFUNCTION("IF(O390&lt;&gt;"""", GOOGLETRANSLATE(O390, ""RO"", ""EN""), """")"),"")</f>
        <v/>
      </c>
      <c r="E390" s="6" t="str">
        <f>IFERROR(__xludf.DUMMYFUNCTION("IF(P390&lt;&gt;"""", GOOGLETRANSLATE(P390, ""RO"", ""EN""), """")"),"Mircea Geoana")</f>
        <v>Mircea Geoana</v>
      </c>
      <c r="F390" s="5" t="str">
        <f>IFERROR(__xludf.DUMMYFUNCTION("IF(Q390&lt;&gt;"""", GOOGLETRANSLATE(Q390, ""RO"", ""EN""), """")"),"")</f>
        <v/>
      </c>
      <c r="G390" s="5" t="str">
        <f>IFERROR(__xludf.DUMMYFUNCTION("IF(R390&lt;&gt;"""", GOOGLETRANSLATE(R390, ""RO"", ""EN""), """")"),"Traian Basescu")</f>
        <v>Traian Basescu</v>
      </c>
      <c r="H390" s="5" t="str">
        <f>IFERROR(__xludf.DUMMYFUNCTION("IF(U390&lt;&gt;"""", GOOGLETRANSLATE(U390, ""RO"", ""EN""), """")"),"")</f>
        <v/>
      </c>
      <c r="I390" s="5" t="str">
        <f>IFERROR(__xludf.DUMMYFUNCTION("IF(V390&lt;&gt;"""", GOOGLETRANSLATE(V390, ""RO"", ""EN""), """")"),"")</f>
        <v/>
      </c>
      <c r="J390" s="5" t="str">
        <f>IFERROR(__xludf.DUMMYFUNCTION("IF(W390&lt;&gt;"""", GOOGLETRANSLATE(W390, ""RO"", ""EN""), """")"),"")</f>
        <v/>
      </c>
      <c r="K390" s="5" t="str">
        <f>IFERROR(__xludf.DUMMYFUNCTION("IF(X390&lt;&gt;"""", GOOGLETRANSLATE(X390, ""RO"", ""EN""), """")"),"")</f>
        <v/>
      </c>
      <c r="L390" s="5" t="str">
        <f>IFERROR(__xludf.DUMMYFUNCTION("IF(S390&lt;&gt;"""", GOOGLETRANSLATE(S390, ""RO"", ""EN""), """")"),"")</f>
        <v/>
      </c>
      <c r="M390" s="5" t="str">
        <f>IFERROR(__xludf.DUMMYFUNCTION("IF(T390&lt;&gt;"""", GOOGLETRANSLATE(T390, ""RO"", ""EN""), """")"),"")</f>
        <v/>
      </c>
      <c r="N390" s="5" t="str">
        <f>IFERROR(__xludf.DUMMYFUNCTION("IF(Y390&lt;&gt;"""", GOOGLETRANSLATE(Y390, ""RO"", ""EN""), """")"),"")</f>
        <v/>
      </c>
      <c r="P390" s="4" t="s">
        <v>219</v>
      </c>
      <c r="R390" s="4" t="s">
        <v>221</v>
      </c>
      <c r="AA390" s="4" t="s">
        <v>103</v>
      </c>
      <c r="AB390" s="4" t="s">
        <v>104</v>
      </c>
    </row>
    <row r="391" ht="15.75" customHeight="1">
      <c r="A391" s="4" t="s">
        <v>1238</v>
      </c>
      <c r="B391" s="4" t="s">
        <v>1239</v>
      </c>
      <c r="C391" s="4" t="str">
        <f>IFERROR(__xludf.DUMMYFUNCTION("GOOGLETRANSLATE(B391, ""RO"", ""EN"")"),"In your opinion, at the first round of the presidential elections, on November 22, 2009, were there election fraud or not?")</f>
        <v>In your opinion, at the first round of the presidential elections, on November 22, 2009, were there election fraud or not?</v>
      </c>
      <c r="D391" s="5" t="str">
        <f>IFERROR(__xludf.DUMMYFUNCTION("IF(O391&lt;&gt;"""", GOOGLETRANSLATE(O391, ""RO"", ""EN""), """")"),"")</f>
        <v/>
      </c>
      <c r="E391" s="6" t="str">
        <f>IFERROR(__xludf.DUMMYFUNCTION("IF(P391&lt;&gt;"""", GOOGLETRANSLATE(P391, ""RO"", ""EN""), """")"),"Yes")</f>
        <v>Yes</v>
      </c>
      <c r="F391" s="5" t="str">
        <f>IFERROR(__xludf.DUMMYFUNCTION("IF(Q391&lt;&gt;"""", GOOGLETRANSLATE(Q391, ""RO"", ""EN""), """")"),"Not")</f>
        <v>Not</v>
      </c>
      <c r="G391" s="5" t="str">
        <f>IFERROR(__xludf.DUMMYFUNCTION("IF(R391&lt;&gt;"""", GOOGLETRANSLATE(R391, ""RO"", ""EN""), """")"),"")</f>
        <v/>
      </c>
      <c r="H391" s="5" t="str">
        <f>IFERROR(__xludf.DUMMYFUNCTION("IF(U391&lt;&gt;"""", GOOGLETRANSLATE(U391, ""RO"", ""EN""), """")"),"")</f>
        <v/>
      </c>
      <c r="I391" s="5" t="str">
        <f>IFERROR(__xludf.DUMMYFUNCTION("IF(V391&lt;&gt;"""", GOOGLETRANSLATE(V391, ""RO"", ""EN""), """")"),"")</f>
        <v/>
      </c>
      <c r="J391" s="5" t="str">
        <f>IFERROR(__xludf.DUMMYFUNCTION("IF(W391&lt;&gt;"""", GOOGLETRANSLATE(W391, ""RO"", ""EN""), """")"),"")</f>
        <v/>
      </c>
      <c r="K391" s="5" t="str">
        <f>IFERROR(__xludf.DUMMYFUNCTION("IF(X391&lt;&gt;"""", GOOGLETRANSLATE(X391, ""RO"", ""EN""), """")"),"")</f>
        <v/>
      </c>
      <c r="L391" s="5" t="str">
        <f>IFERROR(__xludf.DUMMYFUNCTION("IF(S391&lt;&gt;"""", GOOGLETRANSLATE(S391, ""RO"", ""EN""), """")"),"Ns")</f>
        <v>Ns</v>
      </c>
      <c r="M391" s="5" t="str">
        <f>IFERROR(__xludf.DUMMYFUNCTION("IF(T391&lt;&gt;"""", GOOGLETRANSLATE(T391, ""RO"", ""EN""), """")"),"No.")</f>
        <v>No.</v>
      </c>
      <c r="N391" s="5" t="str">
        <f>IFERROR(__xludf.DUMMYFUNCTION("IF(Y391&lt;&gt;"""", GOOGLETRANSLATE(Y391, ""RO"", ""EN""), """")"),"")</f>
        <v/>
      </c>
      <c r="P391" s="4" t="s">
        <v>639</v>
      </c>
      <c r="Q391" s="4" t="s">
        <v>640</v>
      </c>
      <c r="S391" s="4" t="s">
        <v>103</v>
      </c>
      <c r="T391" s="4" t="s">
        <v>104</v>
      </c>
    </row>
    <row r="392" ht="15.75" customHeight="1">
      <c r="A392" s="4" t="s">
        <v>1240</v>
      </c>
      <c r="B392" s="4" t="s">
        <v>1241</v>
      </c>
      <c r="C392" s="4" t="str">
        <f>IFERROR(__xludf.DUMMYFUNCTION("GOOGLETRANSLATE(B392, ""RO"", ""EN"")"),"To what extent do you think frauds have influenced the final result?")</f>
        <v>To what extent do you think frauds have influenced the final result?</v>
      </c>
      <c r="D392" s="5" t="str">
        <f>IFERROR(__xludf.DUMMYFUNCTION("IF(O392&lt;&gt;"""", GOOGLETRANSLATE(O392, ""RO"", ""EN""), """")"),"")</f>
        <v/>
      </c>
      <c r="E392" s="6" t="str">
        <f>IFERROR(__xludf.DUMMYFUNCTION("IF(P392&lt;&gt;"""", GOOGLETRANSLATE(P392, ""RO"", ""EN""), """")"),"Very small")</f>
        <v>Very small</v>
      </c>
      <c r="F392" s="5" t="str">
        <f>IFERROR(__xludf.DUMMYFUNCTION("IF(Q392&lt;&gt;"""", GOOGLETRANSLATE(Q392, ""RO"", ""EN""), """")"),"Classified")</f>
        <v>Classified</v>
      </c>
      <c r="G392" s="5" t="str">
        <f>IFERROR(__xludf.DUMMYFUNCTION("IF(R392&lt;&gt;"""", GOOGLETRANSLATE(R392, ""RO"", ""EN""), """")"),"Big")</f>
        <v>Big</v>
      </c>
      <c r="H392" s="5" t="str">
        <f>IFERROR(__xludf.DUMMYFUNCTION("IF(U392&lt;&gt;"""", GOOGLETRANSLATE(U392, ""RO"", ""EN""), """")"),"Very big")</f>
        <v>Very big</v>
      </c>
      <c r="I392" s="5" t="str">
        <f>IFERROR(__xludf.DUMMYFUNCTION("IF(V392&lt;&gt;"""", GOOGLETRANSLATE(V392, ""RO"", ""EN""), """")"),"")</f>
        <v/>
      </c>
      <c r="J392" s="5" t="str">
        <f>IFERROR(__xludf.DUMMYFUNCTION("IF(W392&lt;&gt;"""", GOOGLETRANSLATE(W392, ""RO"", ""EN""), """")"),"")</f>
        <v/>
      </c>
      <c r="K392" s="5" t="str">
        <f>IFERROR(__xludf.DUMMYFUNCTION("IF(X392&lt;&gt;"""", GOOGLETRANSLATE(X392, ""RO"", ""EN""), """")"),"")</f>
        <v/>
      </c>
      <c r="L392" s="5" t="str">
        <f>IFERROR(__xludf.DUMMYFUNCTION("IF(S392&lt;&gt;"""", GOOGLETRANSLATE(S392, ""RO"", ""EN""), """")"),"Ns")</f>
        <v>Ns</v>
      </c>
      <c r="M392" s="5" t="str">
        <f>IFERROR(__xludf.DUMMYFUNCTION("IF(T392&lt;&gt;"""", GOOGLETRANSLATE(T392, ""RO"", ""EN""), """")"),"No.")</f>
        <v>No.</v>
      </c>
      <c r="N392" s="5" t="str">
        <f>IFERROR(__xludf.DUMMYFUNCTION("IF(Y392&lt;&gt;"""", GOOGLETRANSLATE(Y392, ""RO"", ""EN""), """")"),"")</f>
        <v/>
      </c>
      <c r="P392" s="4" t="s">
        <v>552</v>
      </c>
      <c r="Q392" s="4" t="s">
        <v>553</v>
      </c>
      <c r="R392" s="4" t="s">
        <v>554</v>
      </c>
      <c r="S392" s="4" t="s">
        <v>103</v>
      </c>
      <c r="T392" s="4" t="s">
        <v>104</v>
      </c>
      <c r="U392" s="4" t="s">
        <v>555</v>
      </c>
    </row>
    <row r="393" ht="15.75" customHeight="1">
      <c r="A393" s="4" t="s">
        <v>1242</v>
      </c>
      <c r="B393" s="4" t="s">
        <v>1243</v>
      </c>
      <c r="C393" s="4" t="str">
        <f>IFERROR(__xludf.DUMMYFUNCTION("GOOGLETRANSLATE(B393, ""RO"", ""EN"")"),"Is there a political formation in Romania that will represent your opinions well enough?")</f>
        <v>Is there a political formation in Romania that will represent your opinions well enough?</v>
      </c>
      <c r="D393" s="5" t="str">
        <f>IFERROR(__xludf.DUMMYFUNCTION("IF(O393&lt;&gt;"""", GOOGLETRANSLATE(O393, ""RO"", ""EN""), """")"),"")</f>
        <v/>
      </c>
      <c r="E393" s="6" t="str">
        <f>IFERROR(__xludf.DUMMYFUNCTION("IF(P393&lt;&gt;"""", GOOGLETRANSLATE(P393, ""RO"", ""EN""), """")"),"Yes")</f>
        <v>Yes</v>
      </c>
      <c r="F393" s="5" t="str">
        <f>IFERROR(__xludf.DUMMYFUNCTION("IF(Q393&lt;&gt;"""", GOOGLETRANSLATE(Q393, ""RO"", ""EN""), """")"),"Not")</f>
        <v>Not</v>
      </c>
      <c r="G393" s="5" t="str">
        <f>IFERROR(__xludf.DUMMYFUNCTION("IF(R393&lt;&gt;"""", GOOGLETRANSLATE(R393, ""RO"", ""EN""), """")"),"")</f>
        <v/>
      </c>
      <c r="H393" s="5" t="str">
        <f>IFERROR(__xludf.DUMMYFUNCTION("IF(U393&lt;&gt;"""", GOOGLETRANSLATE(U393, ""RO"", ""EN""), """")"),"")</f>
        <v/>
      </c>
      <c r="I393" s="5" t="str">
        <f>IFERROR(__xludf.DUMMYFUNCTION("IF(V393&lt;&gt;"""", GOOGLETRANSLATE(V393, ""RO"", ""EN""), """")"),"")</f>
        <v/>
      </c>
      <c r="J393" s="5" t="str">
        <f>IFERROR(__xludf.DUMMYFUNCTION("IF(W393&lt;&gt;"""", GOOGLETRANSLATE(W393, ""RO"", ""EN""), """")"),"")</f>
        <v/>
      </c>
      <c r="K393" s="5" t="str">
        <f>IFERROR(__xludf.DUMMYFUNCTION("IF(X393&lt;&gt;"""", GOOGLETRANSLATE(X393, ""RO"", ""EN""), """")"),"")</f>
        <v/>
      </c>
      <c r="L393" s="5" t="str">
        <f>IFERROR(__xludf.DUMMYFUNCTION("IF(S393&lt;&gt;"""", GOOGLETRANSLATE(S393, ""RO"", ""EN""), """")"),"Ns")</f>
        <v>Ns</v>
      </c>
      <c r="M393" s="5" t="str">
        <f>IFERROR(__xludf.DUMMYFUNCTION("IF(T393&lt;&gt;"""", GOOGLETRANSLATE(T393, ""RO"", ""EN""), """")"),"No.")</f>
        <v>No.</v>
      </c>
      <c r="N393" s="5" t="str">
        <f>IFERROR(__xludf.DUMMYFUNCTION("IF(Y393&lt;&gt;"""", GOOGLETRANSLATE(Y393, ""RO"", ""EN""), """")"),"")</f>
        <v/>
      </c>
      <c r="P393" s="4" t="s">
        <v>639</v>
      </c>
      <c r="Q393" s="4" t="s">
        <v>640</v>
      </c>
      <c r="S393" s="4" t="s">
        <v>103</v>
      </c>
      <c r="T393" s="4" t="s">
        <v>104</v>
      </c>
    </row>
    <row r="394" ht="15.75" customHeight="1">
      <c r="A394" s="4" t="s">
        <v>1244</v>
      </c>
      <c r="B394" s="4" t="s">
        <v>719</v>
      </c>
      <c r="C394" s="4" t="str">
        <f>IFERROR(__xludf.DUMMYFUNCTION("GOOGLETRANSLATE(B394, ""RO"", ""EN"")"),"What is the political formation that best represents your opinions?")</f>
        <v>What is the political formation that best represents your opinions?</v>
      </c>
      <c r="D394" s="5" t="str">
        <f>IFERROR(__xludf.DUMMYFUNCTION("IF(O394&lt;&gt;"""", GOOGLETRANSLATE(O394, ""RO"", ""EN""), """")"),"")</f>
        <v/>
      </c>
      <c r="E394" s="6" t="str">
        <f>IFERROR(__xludf.DUMMYFUNCTION("IF(P394&lt;&gt;"""", GOOGLETRANSLATE(P394, ""RO"", ""EN""), """")"),"")</f>
        <v/>
      </c>
      <c r="F394" s="5" t="str">
        <f>IFERROR(__xludf.DUMMYFUNCTION("IF(Q394&lt;&gt;"""", GOOGLETRANSLATE(Q394, ""RO"", ""EN""), """")"),"")</f>
        <v/>
      </c>
      <c r="G394" s="5" t="str">
        <f>IFERROR(__xludf.DUMMYFUNCTION("IF(R394&lt;&gt;"""", GOOGLETRANSLATE(R394, ""RO"", ""EN""), """")"),"")</f>
        <v/>
      </c>
      <c r="H394" s="5" t="str">
        <f>IFERROR(__xludf.DUMMYFUNCTION("IF(U394&lt;&gt;"""", GOOGLETRANSLATE(U394, ""RO"", ""EN""), """")"),"")</f>
        <v/>
      </c>
      <c r="I394" s="5" t="str">
        <f>IFERROR(__xludf.DUMMYFUNCTION("IF(V394&lt;&gt;"""", GOOGLETRANSLATE(V394, ""RO"", ""EN""), """")"),"")</f>
        <v/>
      </c>
      <c r="J394" s="5" t="str">
        <f>IFERROR(__xludf.DUMMYFUNCTION("IF(W394&lt;&gt;"""", GOOGLETRANSLATE(W394, ""RO"", ""EN""), """")"),"")</f>
        <v/>
      </c>
      <c r="K394" s="5" t="str">
        <f>IFERROR(__xludf.DUMMYFUNCTION("IF(X394&lt;&gt;"""", GOOGLETRANSLATE(X394, ""RO"", ""EN""), """")"),"")</f>
        <v/>
      </c>
      <c r="L394" s="5" t="str">
        <f>IFERROR(__xludf.DUMMYFUNCTION("IF(S394&lt;&gt;"""", GOOGLETRANSLATE(S394, ""RO"", ""EN""), """")"),"")</f>
        <v/>
      </c>
      <c r="M394" s="5" t="str">
        <f>IFERROR(__xludf.DUMMYFUNCTION("IF(T394&lt;&gt;"""", GOOGLETRANSLATE(T394, ""RO"", ""EN""), """")"),"")</f>
        <v/>
      </c>
      <c r="N394" s="5" t="str">
        <f>IFERROR(__xludf.DUMMYFUNCTION("IF(Y394&lt;&gt;"""", GOOGLETRANSLATE(Y394, ""RO"", ""EN""), """")"),"")</f>
        <v/>
      </c>
    </row>
    <row r="395" ht="15.75" customHeight="1">
      <c r="A395" s="4" t="s">
        <v>1245</v>
      </c>
      <c r="B395" s="4" t="s">
        <v>719</v>
      </c>
      <c r="C395" s="4" t="str">
        <f>IFERROR(__xludf.DUMMYFUNCTION("GOOGLETRANSLATE(B395, ""RO"", ""EN"")"),"What is the political formation that best represents your opinions?")</f>
        <v>What is the political formation that best represents your opinions?</v>
      </c>
      <c r="D395" s="5" t="str">
        <f>IFERROR(__xludf.DUMMYFUNCTION("IF(O395&lt;&gt;"""", GOOGLETRANSLATE(O395, ""RO"", ""EN""), """")"),"")</f>
        <v/>
      </c>
      <c r="E395" s="6" t="str">
        <f>IFERROR(__xludf.DUMMYFUNCTION("IF(P395&lt;&gt;"""", GOOGLETRANSLATE(P395, ""RO"", ""EN""), """")"),"Pdl")</f>
        <v>Pdl</v>
      </c>
      <c r="F395" s="5" t="str">
        <f>IFERROR(__xludf.DUMMYFUNCTION("IF(Q395&lt;&gt;"""", GOOGLETRANSLATE(Q395, ""RO"", ""EN""), """")"),"PSD")</f>
        <v>PSD</v>
      </c>
      <c r="G395" s="5" t="str">
        <f>IFERROR(__xludf.DUMMYFUNCTION("IF(R395&lt;&gt;"""", GOOGLETRANSLATE(R395, ""RO"", ""EN""), """")"),"PNL")</f>
        <v>PNL</v>
      </c>
      <c r="H395" s="5" t="str">
        <f>IFERROR(__xludf.DUMMYFUNCTION("IF(U395&lt;&gt;"""", GOOGLETRANSLATE(U395, ""RO"", ""EN""), """")"),"Udmr")</f>
        <v>Udmr</v>
      </c>
      <c r="I395" s="5" t="str">
        <f>IFERROR(__xludf.DUMMYFUNCTION("IF(V395&lt;&gt;"""", GOOGLETRANSLATE(V395, ""RO"", ""EN""), """")"),"PRM")</f>
        <v>PRM</v>
      </c>
      <c r="J395" s="5" t="str">
        <f>IFERROR(__xludf.DUMMYFUNCTION("IF(W395&lt;&gt;"""", GOOGLETRANSLATE(W395, ""RO"", ""EN""), """")"),"PNG")</f>
        <v>PNG</v>
      </c>
      <c r="K395" s="5" t="str">
        <f>IFERROR(__xludf.DUMMYFUNCTION("IF(X395&lt;&gt;"""", GOOGLETRANSLATE(X395, ""RO"", ""EN""), """")"),"Another")</f>
        <v>Another</v>
      </c>
      <c r="L395" s="5" t="str">
        <f>IFERROR(__xludf.DUMMYFUNCTION("IF(S395&lt;&gt;"""", GOOGLETRANSLATE(S395, ""RO"", ""EN""), """")"),"none")</f>
        <v>none</v>
      </c>
      <c r="M395" s="5" t="str">
        <f>IFERROR(__xludf.DUMMYFUNCTION("IF(T395&lt;&gt;"""", GOOGLETRANSLATE(T395, ""RO"", ""EN""), """")"),"")</f>
        <v/>
      </c>
      <c r="N395" s="5" t="str">
        <f>IFERROR(__xludf.DUMMYFUNCTION("IF(Y395&lt;&gt;"""", GOOGLETRANSLATE(Y395, ""RO"", ""EN""), """")"),"")</f>
        <v/>
      </c>
      <c r="P395" s="4" t="s">
        <v>1246</v>
      </c>
      <c r="Q395" s="4" t="s">
        <v>1247</v>
      </c>
      <c r="R395" s="4" t="s">
        <v>1248</v>
      </c>
      <c r="S395" s="4" t="s">
        <v>1249</v>
      </c>
      <c r="U395" s="4" t="s">
        <v>1250</v>
      </c>
      <c r="V395" s="4" t="s">
        <v>1251</v>
      </c>
      <c r="W395" s="4" t="s">
        <v>1252</v>
      </c>
      <c r="X395" s="4" t="s">
        <v>1253</v>
      </c>
      <c r="AB395" s="4" t="s">
        <v>104</v>
      </c>
    </row>
    <row r="396" ht="15.75" customHeight="1">
      <c r="A396" s="4" t="s">
        <v>1254</v>
      </c>
      <c r="B396" s="4" t="s">
        <v>1255</v>
      </c>
      <c r="C396" s="4" t="str">
        <f>IFERROR(__xludf.DUMMYFUNCTION("GOOGLETRANSLATE(B396, ""RO"", ""EN"")"),"In the current political context, no party can form the government alone. Of the following variants of ruling coalition, which you prefer:")</f>
        <v>In the current political context, no party can form the government alone. Of the following variants of ruling coalition, which you prefer:</v>
      </c>
      <c r="D396" s="5" t="str">
        <f>IFERROR(__xludf.DUMMYFUNCTION("IF(O396&lt;&gt;"""", GOOGLETRANSLATE(O396, ""RO"", ""EN""), """")"),"")</f>
        <v/>
      </c>
      <c r="E396" s="6" t="str">
        <f>IFERROR(__xludf.DUMMYFUNCTION("IF(P396&lt;&gt;"""", GOOGLETRANSLATE(P396, ""RO"", ""EN""), """")"),"Pdl-pnl")</f>
        <v>Pdl-pnl</v>
      </c>
      <c r="F396" s="5" t="str">
        <f>IFERROR(__xludf.DUMMYFUNCTION("IF(Q396&lt;&gt;"""", GOOGLETRANSLATE(Q396, ""RO"", ""EN""), """")"),"PDL-PSD")</f>
        <v>PDL-PSD</v>
      </c>
      <c r="G396" s="5" t="str">
        <f>IFERROR(__xludf.DUMMYFUNCTION("IF(R396&lt;&gt;"""", GOOGLETRANSLATE(R396, ""RO"", ""EN""), """")"),"PSD-PNL")</f>
        <v>PSD-PNL</v>
      </c>
      <c r="H396" s="5" t="str">
        <f>IFERROR(__xludf.DUMMYFUNCTION("IF(U396&lt;&gt;"""", GOOGLETRANSLATE(U396, ""RO"", ""EN""), """")"),"Other")</f>
        <v>Other</v>
      </c>
      <c r="I396" s="5" t="str">
        <f>IFERROR(__xludf.DUMMYFUNCTION("IF(V396&lt;&gt;"""", GOOGLETRANSLATE(V396, ""RO"", ""EN""), """")"),"No coalition / minority government")</f>
        <v>No coalition / minority government</v>
      </c>
      <c r="J396" s="5" t="str">
        <f>IFERROR(__xludf.DUMMYFUNCTION("IF(W396&lt;&gt;"""", GOOGLETRANSLATE(W396, ""RO"", ""EN""), """")"),"")</f>
        <v/>
      </c>
      <c r="K396" s="5" t="str">
        <f>IFERROR(__xludf.DUMMYFUNCTION("IF(X396&lt;&gt;"""", GOOGLETRANSLATE(X396, ""RO"", ""EN""), """")"),"")</f>
        <v/>
      </c>
      <c r="L396" s="5" t="str">
        <f>IFERROR(__xludf.DUMMYFUNCTION("IF(S396&lt;&gt;"""", GOOGLETRANSLATE(S396, ""RO"", ""EN""), """")"),"Ns")</f>
        <v>Ns</v>
      </c>
      <c r="M396" s="5" t="str">
        <f>IFERROR(__xludf.DUMMYFUNCTION("IF(T396&lt;&gt;"""", GOOGLETRANSLATE(T396, ""RO"", ""EN""), """")"),"No.")</f>
        <v>No.</v>
      </c>
      <c r="N396" s="5" t="str">
        <f>IFERROR(__xludf.DUMMYFUNCTION("IF(Y396&lt;&gt;"""", GOOGLETRANSLATE(Y396, ""RO"", ""EN""), """")"),"")</f>
        <v/>
      </c>
      <c r="P396" s="4" t="s">
        <v>1256</v>
      </c>
      <c r="Q396" s="4" t="s">
        <v>1257</v>
      </c>
      <c r="R396" s="4" t="s">
        <v>1258</v>
      </c>
      <c r="S396" s="4" t="s">
        <v>103</v>
      </c>
      <c r="T396" s="4" t="s">
        <v>104</v>
      </c>
      <c r="U396" s="4" t="s">
        <v>1259</v>
      </c>
      <c r="V396" s="4" t="s">
        <v>1260</v>
      </c>
    </row>
    <row r="397" ht="15.75" customHeight="1">
      <c r="A397" s="4" t="s">
        <v>1261</v>
      </c>
      <c r="B397" s="4" t="s">
        <v>1052</v>
      </c>
      <c r="C397" s="4" t="str">
        <f>IFERROR(__xludf.DUMMYFUNCTION("GOOGLETRANSLATE(B397, ""RO"", ""EN"")"),"The duration of the interview")</f>
        <v>The duration of the interview</v>
      </c>
      <c r="D397" s="5" t="str">
        <f>IFERROR(__xludf.DUMMYFUNCTION("IF(O397&lt;&gt;"""", GOOGLETRANSLATE(O397, ""RO"", ""EN""), """")"),"")</f>
        <v/>
      </c>
      <c r="E397" s="6" t="str">
        <f>IFERROR(__xludf.DUMMYFUNCTION("IF(P397&lt;&gt;"""", GOOGLETRANSLATE(P397, ""RO"", ""EN""), """")"),"")</f>
        <v/>
      </c>
      <c r="F397" s="5" t="str">
        <f>IFERROR(__xludf.DUMMYFUNCTION("IF(Q397&lt;&gt;"""", GOOGLETRANSLATE(Q397, ""RO"", ""EN""), """")"),"")</f>
        <v/>
      </c>
      <c r="G397" s="5" t="str">
        <f>IFERROR(__xludf.DUMMYFUNCTION("IF(R397&lt;&gt;"""", GOOGLETRANSLATE(R397, ""RO"", ""EN""), """")"),"")</f>
        <v/>
      </c>
      <c r="H397" s="5" t="str">
        <f>IFERROR(__xludf.DUMMYFUNCTION("IF(U397&lt;&gt;"""", GOOGLETRANSLATE(U397, ""RO"", ""EN""), """")"),"")</f>
        <v/>
      </c>
      <c r="I397" s="5" t="str">
        <f>IFERROR(__xludf.DUMMYFUNCTION("IF(V397&lt;&gt;"""", GOOGLETRANSLATE(V397, ""RO"", ""EN""), """")"),"")</f>
        <v/>
      </c>
      <c r="J397" s="5" t="str">
        <f>IFERROR(__xludf.DUMMYFUNCTION("IF(W397&lt;&gt;"""", GOOGLETRANSLATE(W397, ""RO"", ""EN""), """")"),"")</f>
        <v/>
      </c>
      <c r="K397" s="5" t="str">
        <f>IFERROR(__xludf.DUMMYFUNCTION("IF(X397&lt;&gt;"""", GOOGLETRANSLATE(X397, ""RO"", ""EN""), """")"),"")</f>
        <v/>
      </c>
      <c r="L397" s="5" t="str">
        <f>IFERROR(__xludf.DUMMYFUNCTION("IF(S397&lt;&gt;"""", GOOGLETRANSLATE(S397, ""RO"", ""EN""), """")"),"")</f>
        <v/>
      </c>
      <c r="M397" s="5" t="str">
        <f>IFERROR(__xludf.DUMMYFUNCTION("IF(T397&lt;&gt;"""", GOOGLETRANSLATE(T397, ""RO"", ""EN""), """")"),"")</f>
        <v/>
      </c>
      <c r="N397" s="5" t="str">
        <f>IFERROR(__xludf.DUMMYFUNCTION("IF(Y397&lt;&gt;"""", GOOGLETRANSLATE(Y397, ""RO"", ""EN""), """")"),"")</f>
        <v/>
      </c>
    </row>
    <row r="398" ht="15.75" customHeight="1">
      <c r="A398" s="4" t="s">
        <v>1262</v>
      </c>
      <c r="B398" s="4" t="s">
        <v>1263</v>
      </c>
      <c r="C398" s="4" t="str">
        <f>IFERROR(__xludf.DUMMYFUNCTION("GOOGLETRANSLATE(B398, ""RO"", ""EN"")"),"... the respondent's interest in the topics discussed")</f>
        <v>... the respondent's interest in the topics discussed</v>
      </c>
      <c r="D398" s="5" t="str">
        <f>IFERROR(__xludf.DUMMYFUNCTION("IF(O398&lt;&gt;"""", GOOGLETRANSLATE(O398, ""RO"", ""EN""), """")"),"00")</f>
        <v>00</v>
      </c>
      <c r="E398" s="6" t="str">
        <f>IFERROR(__xludf.DUMMYFUNCTION("IF(P398&lt;&gt;"""", GOOGLETRANSLATE(P398, ""RO"", ""EN""), """")"),"01")</f>
        <v>01</v>
      </c>
      <c r="F398" s="5" t="str">
        <f>IFERROR(__xludf.DUMMYFUNCTION("IF(Q398&lt;&gt;"""", GOOGLETRANSLATE(Q398, ""RO"", ""EN""), """")"),"02")</f>
        <v>02</v>
      </c>
      <c r="G398" s="5" t="str">
        <f>IFERROR(__xludf.DUMMYFUNCTION("IF(R398&lt;&gt;"""", GOOGLETRANSLATE(R398, ""RO"", ""EN""), """")"),"03")</f>
        <v>03</v>
      </c>
      <c r="H398" s="5" t="str">
        <f>IFERROR(__xludf.DUMMYFUNCTION("IF(U398&lt;&gt;"""", GOOGLETRANSLATE(U398, ""RO"", ""EN""), """")"),"04")</f>
        <v>04</v>
      </c>
      <c r="I398" s="5" t="str">
        <f>IFERROR(__xludf.DUMMYFUNCTION("IF(V398&lt;&gt;"""", GOOGLETRANSLATE(V398, ""RO"", ""EN""), """")"),"05")</f>
        <v>05</v>
      </c>
      <c r="J398" s="5" t="str">
        <f>IFERROR(__xludf.DUMMYFUNCTION("IF(W398&lt;&gt;"""", GOOGLETRANSLATE(W398, ""RO"", ""EN""), """")"),"06")</f>
        <v>06</v>
      </c>
      <c r="K398" s="5" t="str">
        <f>IFERROR(__xludf.DUMMYFUNCTION("IF(X398&lt;&gt;"""", GOOGLETRANSLATE(X398, ""RO"", ""EN""), """")"),"07")</f>
        <v>07</v>
      </c>
      <c r="L398" s="5" t="str">
        <f>IFERROR(__xludf.DUMMYFUNCTION("IF(S398&lt;&gt;"""", GOOGLETRANSLATE(S398, ""RO"", ""EN""), """")"),"08")</f>
        <v>08</v>
      </c>
      <c r="M398" s="5" t="str">
        <f>IFERROR(__xludf.DUMMYFUNCTION("IF(T398&lt;&gt;"""", GOOGLETRANSLATE(T398, ""RO"", ""EN""), """")"),"09")</f>
        <v>09</v>
      </c>
      <c r="N398" s="5" t="str">
        <f>IFERROR(__xludf.DUMMYFUNCTION("IF(Y398&lt;&gt;"""", GOOGLETRANSLATE(Y398, ""RO"", ""EN""), """")"),"10")</f>
        <v>10</v>
      </c>
      <c r="O398" s="4" t="s">
        <v>1264</v>
      </c>
      <c r="P398" s="4" t="s">
        <v>1265</v>
      </c>
      <c r="Q398" s="4" t="s">
        <v>1266</v>
      </c>
      <c r="R398" s="4" t="s">
        <v>1267</v>
      </c>
      <c r="S398" s="4" t="s">
        <v>1268</v>
      </c>
      <c r="T398" s="4" t="s">
        <v>1269</v>
      </c>
      <c r="U398" s="4" t="s">
        <v>1270</v>
      </c>
      <c r="V398" s="4" t="s">
        <v>1271</v>
      </c>
      <c r="W398" s="4" t="s">
        <v>1272</v>
      </c>
      <c r="X398" s="4" t="s">
        <v>1273</v>
      </c>
      <c r="Y398" s="4" t="s">
        <v>1274</v>
      </c>
    </row>
    <row r="399" ht="15.75" customHeight="1">
      <c r="A399" s="4" t="s">
        <v>1275</v>
      </c>
      <c r="B399" s="4" t="s">
        <v>1276</v>
      </c>
      <c r="C399" s="4" t="str">
        <f>IFERROR(__xludf.DUMMYFUNCTION("GOOGLETRANSLATE(B399, ""RO"", ""EN"")"),"... the respondent's ability to understand the questions")</f>
        <v>... the respondent's ability to understand the questions</v>
      </c>
      <c r="D399" s="5" t="str">
        <f>IFERROR(__xludf.DUMMYFUNCTION("IF(O399&lt;&gt;"""", GOOGLETRANSLATE(O399, ""RO"", ""EN""), """")"),"00")</f>
        <v>00</v>
      </c>
      <c r="E399" s="6" t="str">
        <f>IFERROR(__xludf.DUMMYFUNCTION("IF(P399&lt;&gt;"""", GOOGLETRANSLATE(P399, ""RO"", ""EN""), """")"),"01")</f>
        <v>01</v>
      </c>
      <c r="F399" s="5" t="str">
        <f>IFERROR(__xludf.DUMMYFUNCTION("IF(Q399&lt;&gt;"""", GOOGLETRANSLATE(Q399, ""RO"", ""EN""), """")"),"02")</f>
        <v>02</v>
      </c>
      <c r="G399" s="5" t="str">
        <f>IFERROR(__xludf.DUMMYFUNCTION("IF(R399&lt;&gt;"""", GOOGLETRANSLATE(R399, ""RO"", ""EN""), """")"),"03")</f>
        <v>03</v>
      </c>
      <c r="H399" s="5" t="str">
        <f>IFERROR(__xludf.DUMMYFUNCTION("IF(U399&lt;&gt;"""", GOOGLETRANSLATE(U399, ""RO"", ""EN""), """")"),"04")</f>
        <v>04</v>
      </c>
      <c r="I399" s="5" t="str">
        <f>IFERROR(__xludf.DUMMYFUNCTION("IF(V399&lt;&gt;"""", GOOGLETRANSLATE(V399, ""RO"", ""EN""), """")"),"05")</f>
        <v>05</v>
      </c>
      <c r="J399" s="5" t="str">
        <f>IFERROR(__xludf.DUMMYFUNCTION("IF(W399&lt;&gt;"""", GOOGLETRANSLATE(W399, ""RO"", ""EN""), """")"),"06")</f>
        <v>06</v>
      </c>
      <c r="K399" s="5" t="str">
        <f>IFERROR(__xludf.DUMMYFUNCTION("IF(X399&lt;&gt;"""", GOOGLETRANSLATE(X399, ""RO"", ""EN""), """")"),"07")</f>
        <v>07</v>
      </c>
      <c r="L399" s="5" t="str">
        <f>IFERROR(__xludf.DUMMYFUNCTION("IF(S399&lt;&gt;"""", GOOGLETRANSLATE(S399, ""RO"", ""EN""), """")"),"08")</f>
        <v>08</v>
      </c>
      <c r="M399" s="5" t="str">
        <f>IFERROR(__xludf.DUMMYFUNCTION("IF(T399&lt;&gt;"""", GOOGLETRANSLATE(T399, ""RO"", ""EN""), """")"),"09")</f>
        <v>09</v>
      </c>
      <c r="N399" s="5" t="str">
        <f>IFERROR(__xludf.DUMMYFUNCTION("IF(Y399&lt;&gt;"""", GOOGLETRANSLATE(Y399, ""RO"", ""EN""), """")"),"10")</f>
        <v>10</v>
      </c>
      <c r="O399" s="4" t="s">
        <v>1264</v>
      </c>
      <c r="P399" s="4" t="s">
        <v>1265</v>
      </c>
      <c r="Q399" s="4" t="s">
        <v>1266</v>
      </c>
      <c r="R399" s="4" t="s">
        <v>1267</v>
      </c>
      <c r="S399" s="4" t="s">
        <v>1268</v>
      </c>
      <c r="T399" s="4" t="s">
        <v>1269</v>
      </c>
      <c r="U399" s="4" t="s">
        <v>1270</v>
      </c>
      <c r="V399" s="4" t="s">
        <v>1271</v>
      </c>
      <c r="W399" s="4" t="s">
        <v>1272</v>
      </c>
      <c r="X399" s="4" t="s">
        <v>1273</v>
      </c>
      <c r="Y399" s="4" t="s">
        <v>1274</v>
      </c>
    </row>
    <row r="400" ht="15.75" customHeight="1">
      <c r="A400" s="4" t="s">
        <v>1277</v>
      </c>
      <c r="B400" s="4" t="s">
        <v>1278</v>
      </c>
      <c r="C400" s="4" t="str">
        <f>IFERROR(__xludf.DUMMYFUNCTION("GOOGLETRANSLATE(B400, ""RO"", ""EN"")"),"... the respondent's ability to give a answer to questions")</f>
        <v>... the respondent's ability to give a answer to questions</v>
      </c>
      <c r="D400" s="5" t="str">
        <f>IFERROR(__xludf.DUMMYFUNCTION("IF(O400&lt;&gt;"""", GOOGLETRANSLATE(O400, ""RO"", ""EN""), """")"),"00")</f>
        <v>00</v>
      </c>
      <c r="E400" s="6" t="str">
        <f>IFERROR(__xludf.DUMMYFUNCTION("IF(P400&lt;&gt;"""", GOOGLETRANSLATE(P400, ""RO"", ""EN""), """")"),"01")</f>
        <v>01</v>
      </c>
      <c r="F400" s="5" t="str">
        <f>IFERROR(__xludf.DUMMYFUNCTION("IF(Q400&lt;&gt;"""", GOOGLETRANSLATE(Q400, ""RO"", ""EN""), """")"),"02")</f>
        <v>02</v>
      </c>
      <c r="G400" s="5" t="str">
        <f>IFERROR(__xludf.DUMMYFUNCTION("IF(R400&lt;&gt;"""", GOOGLETRANSLATE(R400, ""RO"", ""EN""), """")"),"03")</f>
        <v>03</v>
      </c>
      <c r="H400" s="5" t="str">
        <f>IFERROR(__xludf.DUMMYFUNCTION("IF(U400&lt;&gt;"""", GOOGLETRANSLATE(U400, ""RO"", ""EN""), """")"),"04")</f>
        <v>04</v>
      </c>
      <c r="I400" s="5" t="str">
        <f>IFERROR(__xludf.DUMMYFUNCTION("IF(V400&lt;&gt;"""", GOOGLETRANSLATE(V400, ""RO"", ""EN""), """")"),"05")</f>
        <v>05</v>
      </c>
      <c r="J400" s="5" t="str">
        <f>IFERROR(__xludf.DUMMYFUNCTION("IF(W400&lt;&gt;"""", GOOGLETRANSLATE(W400, ""RO"", ""EN""), """")"),"06")</f>
        <v>06</v>
      </c>
      <c r="K400" s="5" t="str">
        <f>IFERROR(__xludf.DUMMYFUNCTION("IF(X400&lt;&gt;"""", GOOGLETRANSLATE(X400, ""RO"", ""EN""), """")"),"07")</f>
        <v>07</v>
      </c>
      <c r="L400" s="5" t="str">
        <f>IFERROR(__xludf.DUMMYFUNCTION("IF(S400&lt;&gt;"""", GOOGLETRANSLATE(S400, ""RO"", ""EN""), """")"),"08")</f>
        <v>08</v>
      </c>
      <c r="M400" s="5" t="str">
        <f>IFERROR(__xludf.DUMMYFUNCTION("IF(T400&lt;&gt;"""", GOOGLETRANSLATE(T400, ""RO"", ""EN""), """")"),"09")</f>
        <v>09</v>
      </c>
      <c r="N400" s="5" t="str">
        <f>IFERROR(__xludf.DUMMYFUNCTION("IF(Y400&lt;&gt;"""", GOOGLETRANSLATE(Y400, ""RO"", ""EN""), """")"),"10")</f>
        <v>10</v>
      </c>
      <c r="O400" s="4" t="s">
        <v>1264</v>
      </c>
      <c r="P400" s="4" t="s">
        <v>1265</v>
      </c>
      <c r="Q400" s="4" t="s">
        <v>1266</v>
      </c>
      <c r="R400" s="4" t="s">
        <v>1267</v>
      </c>
      <c r="S400" s="4" t="s">
        <v>1268</v>
      </c>
      <c r="T400" s="4" t="s">
        <v>1269</v>
      </c>
      <c r="U400" s="4" t="s">
        <v>1270</v>
      </c>
      <c r="V400" s="4" t="s">
        <v>1271</v>
      </c>
      <c r="W400" s="4" t="s">
        <v>1272</v>
      </c>
      <c r="X400" s="4" t="s">
        <v>1273</v>
      </c>
      <c r="Y400" s="4" t="s">
        <v>1274</v>
      </c>
    </row>
    <row r="401" ht="15.75" customHeight="1">
      <c r="A401" s="4" t="s">
        <v>1279</v>
      </c>
      <c r="B401" s="4" t="s">
        <v>1280</v>
      </c>
      <c r="C401" s="4" t="str">
        <f>IFERROR(__xludf.DUMMYFUNCTION("GOOGLETRANSLATE(B401, ""RO"", ""EN"")"),"... the respondent's information level on politics and choices")</f>
        <v>... the respondent's information level on politics and choices</v>
      </c>
      <c r="D401" s="5" t="str">
        <f>IFERROR(__xludf.DUMMYFUNCTION("IF(O401&lt;&gt;"""", GOOGLETRANSLATE(O401, ""RO"", ""EN""), """")"),"00")</f>
        <v>00</v>
      </c>
      <c r="E401" s="6" t="str">
        <f>IFERROR(__xludf.DUMMYFUNCTION("IF(P401&lt;&gt;"""", GOOGLETRANSLATE(P401, ""RO"", ""EN""), """")"),"01")</f>
        <v>01</v>
      </c>
      <c r="F401" s="5" t="str">
        <f>IFERROR(__xludf.DUMMYFUNCTION("IF(Q401&lt;&gt;"""", GOOGLETRANSLATE(Q401, ""RO"", ""EN""), """")"),"02")</f>
        <v>02</v>
      </c>
      <c r="G401" s="5" t="str">
        <f>IFERROR(__xludf.DUMMYFUNCTION("IF(R401&lt;&gt;"""", GOOGLETRANSLATE(R401, ""RO"", ""EN""), """")"),"03")</f>
        <v>03</v>
      </c>
      <c r="H401" s="5" t="str">
        <f>IFERROR(__xludf.DUMMYFUNCTION("IF(U401&lt;&gt;"""", GOOGLETRANSLATE(U401, ""RO"", ""EN""), """")"),"04")</f>
        <v>04</v>
      </c>
      <c r="I401" s="5" t="str">
        <f>IFERROR(__xludf.DUMMYFUNCTION("IF(V401&lt;&gt;"""", GOOGLETRANSLATE(V401, ""RO"", ""EN""), """")"),"05")</f>
        <v>05</v>
      </c>
      <c r="J401" s="5" t="str">
        <f>IFERROR(__xludf.DUMMYFUNCTION("IF(W401&lt;&gt;"""", GOOGLETRANSLATE(W401, ""RO"", ""EN""), """")"),"06")</f>
        <v>06</v>
      </c>
      <c r="K401" s="5" t="str">
        <f>IFERROR(__xludf.DUMMYFUNCTION("IF(X401&lt;&gt;"""", GOOGLETRANSLATE(X401, ""RO"", ""EN""), """")"),"07")</f>
        <v>07</v>
      </c>
      <c r="L401" s="5" t="str">
        <f>IFERROR(__xludf.DUMMYFUNCTION("IF(S401&lt;&gt;"""", GOOGLETRANSLATE(S401, ""RO"", ""EN""), """")"),"08")</f>
        <v>08</v>
      </c>
      <c r="M401" s="5" t="str">
        <f>IFERROR(__xludf.DUMMYFUNCTION("IF(T401&lt;&gt;"""", GOOGLETRANSLATE(T401, ""RO"", ""EN""), """")"),"09")</f>
        <v>09</v>
      </c>
      <c r="N401" s="5" t="str">
        <f>IFERROR(__xludf.DUMMYFUNCTION("IF(Y401&lt;&gt;"""", GOOGLETRANSLATE(Y401, ""RO"", ""EN""), """")"),"10")</f>
        <v>10</v>
      </c>
      <c r="O401" s="4" t="s">
        <v>1264</v>
      </c>
      <c r="P401" s="4" t="s">
        <v>1265</v>
      </c>
      <c r="Q401" s="4" t="s">
        <v>1266</v>
      </c>
      <c r="R401" s="4" t="s">
        <v>1267</v>
      </c>
      <c r="S401" s="4" t="s">
        <v>1268</v>
      </c>
      <c r="T401" s="4" t="s">
        <v>1269</v>
      </c>
      <c r="U401" s="4" t="s">
        <v>1270</v>
      </c>
      <c r="V401" s="4" t="s">
        <v>1271</v>
      </c>
      <c r="W401" s="4" t="s">
        <v>1272</v>
      </c>
      <c r="X401" s="4" t="s">
        <v>1273</v>
      </c>
      <c r="Y401" s="4" t="s">
        <v>1274</v>
      </c>
    </row>
    <row r="402" ht="15.75" customHeight="1">
      <c r="A402" s="4" t="s">
        <v>1281</v>
      </c>
      <c r="B402" s="4" t="s">
        <v>1282</v>
      </c>
      <c r="C402" s="4" t="str">
        <f>IFERROR(__xludf.DUMMYFUNCTION("GOOGLETRANSLATE(B402, ""RO"", ""EN"")"),"Operator, do you have any remark about the interview?")</f>
        <v>Operator, do you have any remark about the interview?</v>
      </c>
      <c r="D402" s="5" t="str">
        <f>IFERROR(__xludf.DUMMYFUNCTION("IF(O402&lt;&gt;"""", GOOGLETRANSLATE(O402, ""RO"", ""EN""), """")"),"")</f>
        <v/>
      </c>
      <c r="E402" s="6" t="str">
        <f>IFERROR(__xludf.DUMMYFUNCTION("IF(P402&lt;&gt;"""", GOOGLETRANSLATE(P402, ""RO"", ""EN""), """")"),"Yes")</f>
        <v>Yes</v>
      </c>
      <c r="F402" s="5" t="str">
        <f>IFERROR(__xludf.DUMMYFUNCTION("IF(Q402&lt;&gt;"""", GOOGLETRANSLATE(Q402, ""RO"", ""EN""), """")"),"Not")</f>
        <v>Not</v>
      </c>
      <c r="G402" s="5" t="str">
        <f>IFERROR(__xludf.DUMMYFUNCTION("IF(R402&lt;&gt;"""", GOOGLETRANSLATE(R402, ""RO"", ""EN""), """")"),"")</f>
        <v/>
      </c>
      <c r="H402" s="5" t="str">
        <f>IFERROR(__xludf.DUMMYFUNCTION("IF(U402&lt;&gt;"""", GOOGLETRANSLATE(U402, ""RO"", ""EN""), """")"),"")</f>
        <v/>
      </c>
      <c r="I402" s="5" t="str">
        <f>IFERROR(__xludf.DUMMYFUNCTION("IF(V402&lt;&gt;"""", GOOGLETRANSLATE(V402, ""RO"", ""EN""), """")"),"")</f>
        <v/>
      </c>
      <c r="J402" s="5" t="str">
        <f>IFERROR(__xludf.DUMMYFUNCTION("IF(W402&lt;&gt;"""", GOOGLETRANSLATE(W402, ""RO"", ""EN""), """")"),"")</f>
        <v/>
      </c>
      <c r="K402" s="5" t="str">
        <f>IFERROR(__xludf.DUMMYFUNCTION("IF(X402&lt;&gt;"""", GOOGLETRANSLATE(X402, ""RO"", ""EN""), """")"),"")</f>
        <v/>
      </c>
      <c r="L402" s="5" t="str">
        <f>IFERROR(__xludf.DUMMYFUNCTION("IF(S402&lt;&gt;"""", GOOGLETRANSLATE(S402, ""RO"", ""EN""), """")"),"")</f>
        <v/>
      </c>
      <c r="M402" s="5" t="str">
        <f>IFERROR(__xludf.DUMMYFUNCTION("IF(T402&lt;&gt;"""", GOOGLETRANSLATE(T402, ""RO"", ""EN""), """")"),"")</f>
        <v/>
      </c>
      <c r="N402" s="5" t="str">
        <f>IFERROR(__xludf.DUMMYFUNCTION("IF(Y402&lt;&gt;"""", GOOGLETRANSLATE(Y402, ""RO"", ""EN""), """")"),"")</f>
        <v/>
      </c>
      <c r="P402" s="4" t="s">
        <v>639</v>
      </c>
      <c r="Q402" s="4" t="s">
        <v>640</v>
      </c>
    </row>
    <row r="403" ht="15.75" customHeight="1">
      <c r="A403" s="4" t="s">
        <v>1283</v>
      </c>
      <c r="B403" s="4" t="s">
        <v>1284</v>
      </c>
      <c r="C403" s="4" t="str">
        <f>IFERROR(__xludf.DUMMYFUNCTION("GOOGLETRANSLATE(B403, ""RO"", ""EN"")")," OBSERVATION")</f>
        <v> OBSERVATION</v>
      </c>
      <c r="D403" s="5" t="str">
        <f>IFERROR(__xludf.DUMMYFUNCTION("IF(O403&lt;&gt;"""", GOOGLETRANSLATE(O403, ""RO"", ""EN""), """")"),"")</f>
        <v/>
      </c>
      <c r="E403" s="6" t="str">
        <f>IFERROR(__xludf.DUMMYFUNCTION("IF(P403&lt;&gt;"""", GOOGLETRANSLATE(P403, ""RO"", ""EN""), """")"),"")</f>
        <v/>
      </c>
      <c r="F403" s="5" t="str">
        <f>IFERROR(__xludf.DUMMYFUNCTION("IF(Q403&lt;&gt;"""", GOOGLETRANSLATE(Q403, ""RO"", ""EN""), """")"),"")</f>
        <v/>
      </c>
      <c r="G403" s="5" t="str">
        <f>IFERROR(__xludf.DUMMYFUNCTION("IF(R403&lt;&gt;"""", GOOGLETRANSLATE(R403, ""RO"", ""EN""), """")"),"")</f>
        <v/>
      </c>
      <c r="H403" s="5" t="str">
        <f>IFERROR(__xludf.DUMMYFUNCTION("IF(U403&lt;&gt;"""", GOOGLETRANSLATE(U403, ""RO"", ""EN""), """")"),"")</f>
        <v/>
      </c>
      <c r="I403" s="5" t="str">
        <f>IFERROR(__xludf.DUMMYFUNCTION("IF(V403&lt;&gt;"""", GOOGLETRANSLATE(V403, ""RO"", ""EN""), """")"),"")</f>
        <v/>
      </c>
      <c r="J403" s="5" t="str">
        <f>IFERROR(__xludf.DUMMYFUNCTION("IF(W403&lt;&gt;"""", GOOGLETRANSLATE(W403, ""RO"", ""EN""), """")"),"")</f>
        <v/>
      </c>
      <c r="K403" s="5" t="str">
        <f>IFERROR(__xludf.DUMMYFUNCTION("IF(X403&lt;&gt;"""", GOOGLETRANSLATE(X403, ""RO"", ""EN""), """")"),"")</f>
        <v/>
      </c>
      <c r="L403" s="5" t="str">
        <f>IFERROR(__xludf.DUMMYFUNCTION("IF(S403&lt;&gt;"""", GOOGLETRANSLATE(S403, ""RO"", ""EN""), """")"),"")</f>
        <v/>
      </c>
      <c r="M403" s="5" t="str">
        <f>IFERROR(__xludf.DUMMYFUNCTION("IF(T403&lt;&gt;"""", GOOGLETRANSLATE(T403, ""RO"", ""EN""), """")"),"")</f>
        <v/>
      </c>
      <c r="N403" s="5" t="str">
        <f>IFERROR(__xludf.DUMMYFUNCTION("IF(Y403&lt;&gt;"""", GOOGLETRANSLATE(Y403, ""RO"", ""EN""), """")"),"")</f>
        <v/>
      </c>
    </row>
    <row r="404" ht="15.75" customHeight="1">
      <c r="A404" s="4" t="s">
        <v>1285</v>
      </c>
      <c r="B404" s="4" t="s">
        <v>1286</v>
      </c>
      <c r="C404" s="4" t="str">
        <f>IFERROR(__xludf.DUMMYFUNCTION("GOOGLETRANSLATE(B404, ""RO"", ""EN"")"),"============= Separator Wave 3 =========")</f>
        <v>============= Separator Wave 3 =========</v>
      </c>
      <c r="D404" s="5" t="str">
        <f>IFERROR(__xludf.DUMMYFUNCTION("IF(O404&lt;&gt;"""", GOOGLETRANSLATE(O404, ""RO"", ""EN""), """")"),"")</f>
        <v/>
      </c>
      <c r="E404" s="6" t="str">
        <f>IFERROR(__xludf.DUMMYFUNCTION("IF(P404&lt;&gt;"""", GOOGLETRANSLATE(P404, ""RO"", ""EN""), """")"),"")</f>
        <v/>
      </c>
      <c r="F404" s="5" t="str">
        <f>IFERROR(__xludf.DUMMYFUNCTION("IF(Q404&lt;&gt;"""", GOOGLETRANSLATE(Q404, ""RO"", ""EN""), """")"),"")</f>
        <v/>
      </c>
      <c r="G404" s="5" t="str">
        <f>IFERROR(__xludf.DUMMYFUNCTION("IF(R404&lt;&gt;"""", GOOGLETRANSLATE(R404, ""RO"", ""EN""), """")"),"")</f>
        <v/>
      </c>
      <c r="H404" s="5" t="str">
        <f>IFERROR(__xludf.DUMMYFUNCTION("IF(U404&lt;&gt;"""", GOOGLETRANSLATE(U404, ""RO"", ""EN""), """")"),"")</f>
        <v/>
      </c>
      <c r="I404" s="5" t="str">
        <f>IFERROR(__xludf.DUMMYFUNCTION("IF(V404&lt;&gt;"""", GOOGLETRANSLATE(V404, ""RO"", ""EN""), """")"),"")</f>
        <v/>
      </c>
      <c r="J404" s="5" t="str">
        <f>IFERROR(__xludf.DUMMYFUNCTION("IF(W404&lt;&gt;"""", GOOGLETRANSLATE(W404, ""RO"", ""EN""), """")"),"")</f>
        <v/>
      </c>
      <c r="K404" s="5" t="str">
        <f>IFERROR(__xludf.DUMMYFUNCTION("IF(X404&lt;&gt;"""", GOOGLETRANSLATE(X404, ""RO"", ""EN""), """")"),"")</f>
        <v/>
      </c>
      <c r="L404" s="5" t="str">
        <f>IFERROR(__xludf.DUMMYFUNCTION("IF(S404&lt;&gt;"""", GOOGLETRANSLATE(S404, ""RO"", ""EN""), """")"),"")</f>
        <v/>
      </c>
      <c r="M404" s="5" t="str">
        <f>IFERROR(__xludf.DUMMYFUNCTION("IF(T404&lt;&gt;"""", GOOGLETRANSLATE(T404, ""RO"", ""EN""), """")"),"")</f>
        <v/>
      </c>
      <c r="N404" s="5" t="str">
        <f>IFERROR(__xludf.DUMMYFUNCTION("IF(Y404&lt;&gt;"""", GOOGLETRANSLATE(Y404, ""RO"", ""EN""), """")"),"")</f>
        <v/>
      </c>
    </row>
    <row r="405" ht="15.75" customHeight="1">
      <c r="A405" s="4" t="s">
        <v>1287</v>
      </c>
      <c r="B405" s="4" t="s">
        <v>1288</v>
      </c>
      <c r="C405" s="4" t="str">
        <f>IFERROR(__xludf.DUMMYFUNCTION("GOOGLETRANSLATE(B405, ""RO"", ""EN"")"),"File code / PSU")</f>
        <v>File code / PSU</v>
      </c>
      <c r="D405" s="5" t="str">
        <f>IFERROR(__xludf.DUMMYFUNCTION("IF(O405&lt;&gt;"""", GOOGLETRANSLATE(O405, ""RO"", ""EN""), """")"),"")</f>
        <v/>
      </c>
      <c r="E405" s="6" t="str">
        <f>IFERROR(__xludf.DUMMYFUNCTION("IF(P405&lt;&gt;"""", GOOGLETRANSLATE(P405, ""RO"", ""EN""), """")"),"")</f>
        <v/>
      </c>
      <c r="F405" s="5" t="str">
        <f>IFERROR(__xludf.DUMMYFUNCTION("IF(Q405&lt;&gt;"""", GOOGLETRANSLATE(Q405, ""RO"", ""EN""), """")"),"")</f>
        <v/>
      </c>
      <c r="G405" s="5" t="str">
        <f>IFERROR(__xludf.DUMMYFUNCTION("IF(R405&lt;&gt;"""", GOOGLETRANSLATE(R405, ""RO"", ""EN""), """")"),"")</f>
        <v/>
      </c>
      <c r="H405" s="5" t="str">
        <f>IFERROR(__xludf.DUMMYFUNCTION("IF(U405&lt;&gt;"""", GOOGLETRANSLATE(U405, ""RO"", ""EN""), """")"),"")</f>
        <v/>
      </c>
      <c r="I405" s="5" t="str">
        <f>IFERROR(__xludf.DUMMYFUNCTION("IF(V405&lt;&gt;"""", GOOGLETRANSLATE(V405, ""RO"", ""EN""), """")"),"")</f>
        <v/>
      </c>
      <c r="J405" s="5" t="str">
        <f>IFERROR(__xludf.DUMMYFUNCTION("IF(W405&lt;&gt;"""", GOOGLETRANSLATE(W405, ""RO"", ""EN""), """")"),"")</f>
        <v/>
      </c>
      <c r="K405" s="5" t="str">
        <f>IFERROR(__xludf.DUMMYFUNCTION("IF(X405&lt;&gt;"""", GOOGLETRANSLATE(X405, ""RO"", ""EN""), """")"),"")</f>
        <v/>
      </c>
      <c r="L405" s="5" t="str">
        <f>IFERROR(__xludf.DUMMYFUNCTION("IF(S405&lt;&gt;"""", GOOGLETRANSLATE(S405, ""RO"", ""EN""), """")"),"")</f>
        <v/>
      </c>
      <c r="M405" s="5" t="str">
        <f>IFERROR(__xludf.DUMMYFUNCTION("IF(T405&lt;&gt;"""", GOOGLETRANSLATE(T405, ""RO"", ""EN""), """")"),"")</f>
        <v/>
      </c>
      <c r="N405" s="5" t="str">
        <f>IFERROR(__xludf.DUMMYFUNCTION("IF(Y405&lt;&gt;"""", GOOGLETRANSLATE(Y405, ""RO"", ""EN""), """")"),"")</f>
        <v/>
      </c>
    </row>
    <row r="406" ht="15.75" customHeight="1">
      <c r="A406" s="4" t="s">
        <v>1289</v>
      </c>
      <c r="B406" s="4" t="s">
        <v>1290</v>
      </c>
      <c r="C406" s="4" t="str">
        <f>IFERROR(__xludf.DUMMYFUNCTION("GOOGLETRANSLATE(B406, ""RO"", ""EN"")"),"Respondent code on the sheet")</f>
        <v>Respondent code on the sheet</v>
      </c>
      <c r="D406" s="5" t="str">
        <f>IFERROR(__xludf.DUMMYFUNCTION("IF(O406&lt;&gt;"""", GOOGLETRANSLATE(O406, ""RO"", ""EN""), """")"),"")</f>
        <v/>
      </c>
      <c r="E406" s="6" t="str">
        <f>IFERROR(__xludf.DUMMYFUNCTION("IF(P406&lt;&gt;"""", GOOGLETRANSLATE(P406, ""RO"", ""EN""), """")"),"")</f>
        <v/>
      </c>
      <c r="F406" s="5" t="str">
        <f>IFERROR(__xludf.DUMMYFUNCTION("IF(Q406&lt;&gt;"""", GOOGLETRANSLATE(Q406, ""RO"", ""EN""), """")"),"")</f>
        <v/>
      </c>
      <c r="G406" s="5" t="str">
        <f>IFERROR(__xludf.DUMMYFUNCTION("IF(R406&lt;&gt;"""", GOOGLETRANSLATE(R406, ""RO"", ""EN""), """")"),"")</f>
        <v/>
      </c>
      <c r="H406" s="5" t="str">
        <f>IFERROR(__xludf.DUMMYFUNCTION("IF(U406&lt;&gt;"""", GOOGLETRANSLATE(U406, ""RO"", ""EN""), """")"),"")</f>
        <v/>
      </c>
      <c r="I406" s="5" t="str">
        <f>IFERROR(__xludf.DUMMYFUNCTION("IF(V406&lt;&gt;"""", GOOGLETRANSLATE(V406, ""RO"", ""EN""), """")"),"")</f>
        <v/>
      </c>
      <c r="J406" s="5" t="str">
        <f>IFERROR(__xludf.DUMMYFUNCTION("IF(W406&lt;&gt;"""", GOOGLETRANSLATE(W406, ""RO"", ""EN""), """")"),"")</f>
        <v/>
      </c>
      <c r="K406" s="5" t="str">
        <f>IFERROR(__xludf.DUMMYFUNCTION("IF(X406&lt;&gt;"""", GOOGLETRANSLATE(X406, ""RO"", ""EN""), """")"),"")</f>
        <v/>
      </c>
      <c r="L406" s="5" t="str">
        <f>IFERROR(__xludf.DUMMYFUNCTION("IF(S406&lt;&gt;"""", GOOGLETRANSLATE(S406, ""RO"", ""EN""), """")"),"")</f>
        <v/>
      </c>
      <c r="M406" s="5" t="str">
        <f>IFERROR(__xludf.DUMMYFUNCTION("IF(T406&lt;&gt;"""", GOOGLETRANSLATE(T406, ""RO"", ""EN""), """")"),"")</f>
        <v/>
      </c>
      <c r="N406" s="5" t="str">
        <f>IFERROR(__xludf.DUMMYFUNCTION("IF(Y406&lt;&gt;"""", GOOGLETRANSLATE(Y406, ""RO"", ""EN""), """")"),"")</f>
        <v/>
      </c>
    </row>
    <row r="407" ht="15.75" customHeight="1">
      <c r="A407" s="4" t="s">
        <v>1291</v>
      </c>
      <c r="B407" s="4" t="s">
        <v>100</v>
      </c>
      <c r="C407" s="4" t="str">
        <f>IFERROR(__xludf.DUMMYFUNCTION("GOOGLETRANSLATE(B407, ""RO"", ""EN"")"),"Do you think that in our country things go in a good direction or in a wrong direction?")</f>
        <v>Do you think that in our country things go in a good direction or in a wrong direction?</v>
      </c>
      <c r="D407" s="5" t="str">
        <f>IFERROR(__xludf.DUMMYFUNCTION("IF(O407&lt;&gt;"""", GOOGLETRANSLATE(O407, ""RO"", ""EN""), """")"),"")</f>
        <v/>
      </c>
      <c r="E407" s="6" t="str">
        <f>IFERROR(__xludf.DUMMYFUNCTION("IF(P407&lt;&gt;"""", GOOGLETRANSLATE(P407, ""RO"", ""EN""), """")"),"The direction is good")</f>
        <v>The direction is good</v>
      </c>
      <c r="F407" s="5" t="str">
        <f>IFERROR(__xludf.DUMMYFUNCTION("IF(Q407&lt;&gt;"""", GOOGLETRANSLATE(Q407, ""RO"", ""EN""), """")"),"The direction is wrong")</f>
        <v>The direction is wrong</v>
      </c>
      <c r="G407" s="5" t="str">
        <f>IFERROR(__xludf.DUMMYFUNCTION("IF(R407&lt;&gt;"""", GOOGLETRANSLATE(R407, ""RO"", ""EN""), """")"),"")</f>
        <v/>
      </c>
      <c r="H407" s="5" t="str">
        <f>IFERROR(__xludf.DUMMYFUNCTION("IF(U407&lt;&gt;"""", GOOGLETRANSLATE(U407, ""RO"", ""EN""), """")"),"")</f>
        <v/>
      </c>
      <c r="I407" s="5" t="str">
        <f>IFERROR(__xludf.DUMMYFUNCTION("IF(V407&lt;&gt;"""", GOOGLETRANSLATE(V407, ""RO"", ""EN""), """")"),"")</f>
        <v/>
      </c>
      <c r="J407" s="5" t="str">
        <f>IFERROR(__xludf.DUMMYFUNCTION("IF(W407&lt;&gt;"""", GOOGLETRANSLATE(W407, ""RO"", ""EN""), """")"),"")</f>
        <v/>
      </c>
      <c r="K407" s="5" t="str">
        <f>IFERROR(__xludf.DUMMYFUNCTION("IF(X407&lt;&gt;"""", GOOGLETRANSLATE(X407, ""RO"", ""EN""), """")"),"")</f>
        <v/>
      </c>
      <c r="L407" s="5" t="str">
        <f>IFERROR(__xludf.DUMMYFUNCTION("IF(S407&lt;&gt;"""", GOOGLETRANSLATE(S407, ""RO"", ""EN""), """")"),"Ns")</f>
        <v>Ns</v>
      </c>
      <c r="M407" s="5" t="str">
        <f>IFERROR(__xludf.DUMMYFUNCTION("IF(T407&lt;&gt;"""", GOOGLETRANSLATE(T407, ""RO"", ""EN""), """")"),"No.")</f>
        <v>No.</v>
      </c>
      <c r="N407" s="5" t="str">
        <f>IFERROR(__xludf.DUMMYFUNCTION("IF(Y407&lt;&gt;"""", GOOGLETRANSLATE(Y407, ""RO"", ""EN""), """")"),"")</f>
        <v/>
      </c>
      <c r="P407" s="4" t="s">
        <v>101</v>
      </c>
      <c r="Q407" s="4" t="s">
        <v>102</v>
      </c>
      <c r="S407" s="4" t="s">
        <v>103</v>
      </c>
      <c r="T407" s="4" t="s">
        <v>104</v>
      </c>
    </row>
    <row r="408" ht="15.75" customHeight="1">
      <c r="A408" s="4" t="s">
        <v>1292</v>
      </c>
      <c r="B408" s="4" t="s">
        <v>106</v>
      </c>
      <c r="C408" s="4" t="str">
        <f>IFERROR(__xludf.DUMMYFUNCTION("GOOGLETRANSLATE(B408, ""RO"", ""EN"")"),"How satisfied are you generally in the way you live?")</f>
        <v>How satisfied are you generally in the way you live?</v>
      </c>
      <c r="D408" s="5" t="str">
        <f>IFERROR(__xludf.DUMMYFUNCTION("IF(O408&lt;&gt;"""", GOOGLETRANSLATE(O408, ""RO"", ""EN""), """")"),"")</f>
        <v/>
      </c>
      <c r="E408" s="6" t="str">
        <f>IFERROR(__xludf.DUMMYFUNCTION("IF(P408&lt;&gt;"""", GOOGLETRANSLATE(P408, ""RO"", ""EN""), """")"),"Not satisfied")</f>
        <v>Not satisfied</v>
      </c>
      <c r="F408" s="5" t="str">
        <f>IFERROR(__xludf.DUMMYFUNCTION("IF(Q408&lt;&gt;"""", GOOGLETRANSLATE(Q408, ""RO"", ""EN""), """")"),"Not too pleased")</f>
        <v>Not too pleased</v>
      </c>
      <c r="G408" s="5" t="str">
        <f>IFERROR(__xludf.DUMMYFUNCTION("IF(R408&lt;&gt;"""", GOOGLETRANSLATE(R408, ""RO"", ""EN""), """")"),"Quite satisfied")</f>
        <v>Quite satisfied</v>
      </c>
      <c r="H408" s="5" t="str">
        <f>IFERROR(__xludf.DUMMYFUNCTION("IF(U408&lt;&gt;"""", GOOGLETRANSLATE(U408, ""RO"", ""EN""), """")"),"Very pleased")</f>
        <v>Very pleased</v>
      </c>
      <c r="I408" s="5" t="str">
        <f>IFERROR(__xludf.DUMMYFUNCTION("IF(V408&lt;&gt;"""", GOOGLETRANSLATE(V408, ""RO"", ""EN""), """")"),"")</f>
        <v/>
      </c>
      <c r="J408" s="5" t="str">
        <f>IFERROR(__xludf.DUMMYFUNCTION("IF(W408&lt;&gt;"""", GOOGLETRANSLATE(W408, ""RO"", ""EN""), """")"),"")</f>
        <v/>
      </c>
      <c r="K408" s="5" t="str">
        <f>IFERROR(__xludf.DUMMYFUNCTION("IF(X408&lt;&gt;"""", GOOGLETRANSLATE(X408, ""RO"", ""EN""), """")"),"")</f>
        <v/>
      </c>
      <c r="L408" s="5" t="str">
        <f>IFERROR(__xludf.DUMMYFUNCTION("IF(S408&lt;&gt;"""", GOOGLETRANSLATE(S408, ""RO"", ""EN""), """")"),"Ns")</f>
        <v>Ns</v>
      </c>
      <c r="M408" s="5" t="str">
        <f>IFERROR(__xludf.DUMMYFUNCTION("IF(T408&lt;&gt;"""", GOOGLETRANSLATE(T408, ""RO"", ""EN""), """")"),"No.")</f>
        <v>No.</v>
      </c>
      <c r="N408" s="5" t="str">
        <f>IFERROR(__xludf.DUMMYFUNCTION("IF(Y408&lt;&gt;"""", GOOGLETRANSLATE(Y408, ""RO"", ""EN""), """")"),"")</f>
        <v/>
      </c>
      <c r="P408" s="4" t="s">
        <v>107</v>
      </c>
      <c r="Q408" s="4" t="s">
        <v>108</v>
      </c>
      <c r="R408" s="4" t="s">
        <v>109</v>
      </c>
      <c r="S408" s="4" t="s">
        <v>103</v>
      </c>
      <c r="T408" s="4" t="s">
        <v>104</v>
      </c>
      <c r="U408" s="4" t="s">
        <v>110</v>
      </c>
    </row>
    <row r="409" ht="15.75" customHeight="1">
      <c r="A409" s="4" t="s">
        <v>1293</v>
      </c>
      <c r="B409" s="4" t="s">
        <v>112</v>
      </c>
      <c r="C409" s="4" t="str">
        <f>IFERROR(__xludf.DUMMYFUNCTION("GOOGLETRANSLATE(B409, ""RO"", ""EN"")"),"How is your life currently compared to a year ago?")</f>
        <v>How is your life currently compared to a year ago?</v>
      </c>
      <c r="D409" s="5" t="str">
        <f>IFERROR(__xludf.DUMMYFUNCTION("IF(O409&lt;&gt;"""", GOOGLETRANSLATE(O409, ""RO"", ""EN""), """")"),"")</f>
        <v/>
      </c>
      <c r="E409" s="6" t="str">
        <f>IFERROR(__xludf.DUMMYFUNCTION("IF(P409&lt;&gt;"""", GOOGLETRANSLATE(P409, ""RO"", ""EN""), """")"),"Much better")</f>
        <v>Much better</v>
      </c>
      <c r="F409" s="5" t="str">
        <f>IFERROR(__xludf.DUMMYFUNCTION("IF(Q409&lt;&gt;"""", GOOGLETRANSLATE(Q409, ""RO"", ""EN""), """")"),"Better")</f>
        <v>Better</v>
      </c>
      <c r="G409" s="5" t="str">
        <f>IFERROR(__xludf.DUMMYFUNCTION("IF(R409&lt;&gt;"""", GOOGLETRANSLATE(R409, ""RO"", ""EN""), """")"),"About the same")</f>
        <v>About the same</v>
      </c>
      <c r="H409" s="5" t="str">
        <f>IFERROR(__xludf.DUMMYFUNCTION("IF(U409&lt;&gt;"""", GOOGLETRANSLATE(U409, ""RO"", ""EN""), """")"),"Worse")</f>
        <v>Worse</v>
      </c>
      <c r="I409" s="5" t="str">
        <f>IFERROR(__xludf.DUMMYFUNCTION("IF(V409&lt;&gt;"""", GOOGLETRANSLATE(V409, ""RO"", ""EN""), """")"),"Much worse")</f>
        <v>Much worse</v>
      </c>
      <c r="J409" s="5" t="str">
        <f>IFERROR(__xludf.DUMMYFUNCTION("IF(W409&lt;&gt;"""", GOOGLETRANSLATE(W409, ""RO"", ""EN""), """")"),"")</f>
        <v/>
      </c>
      <c r="K409" s="5" t="str">
        <f>IFERROR(__xludf.DUMMYFUNCTION("IF(X409&lt;&gt;"""", GOOGLETRANSLATE(X409, ""RO"", ""EN""), """")"),"")</f>
        <v/>
      </c>
      <c r="L409" s="5" t="str">
        <f>IFERROR(__xludf.DUMMYFUNCTION("IF(S409&lt;&gt;"""", GOOGLETRANSLATE(S409, ""RO"", ""EN""), """")"),"Ns")</f>
        <v>Ns</v>
      </c>
      <c r="M409" s="5" t="str">
        <f>IFERROR(__xludf.DUMMYFUNCTION("IF(T409&lt;&gt;"""", GOOGLETRANSLATE(T409, ""RO"", ""EN""), """")"),"No.")</f>
        <v>No.</v>
      </c>
      <c r="N409" s="5" t="str">
        <f>IFERROR(__xludf.DUMMYFUNCTION("IF(Y409&lt;&gt;"""", GOOGLETRANSLATE(Y409, ""RO"", ""EN""), """")"),"")</f>
        <v/>
      </c>
      <c r="P409" s="4" t="s">
        <v>113</v>
      </c>
      <c r="Q409" s="4" t="s">
        <v>114</v>
      </c>
      <c r="R409" s="4" t="s">
        <v>115</v>
      </c>
      <c r="S409" s="4" t="s">
        <v>103</v>
      </c>
      <c r="T409" s="4" t="s">
        <v>104</v>
      </c>
      <c r="U409" s="4" t="s">
        <v>116</v>
      </c>
      <c r="V409" s="4" t="s">
        <v>117</v>
      </c>
    </row>
    <row r="410" ht="15.75" customHeight="1">
      <c r="A410" s="4" t="s">
        <v>1294</v>
      </c>
      <c r="B410" s="4" t="s">
        <v>119</v>
      </c>
      <c r="C410" s="4" t="str">
        <f>IFERROR(__xludf.DUMMYFUNCTION("GOOGLETRANSLATE(B410, ""RO"", ""EN"")"),"How do you think you will live over a year?")</f>
        <v>How do you think you will live over a year?</v>
      </c>
      <c r="D410" s="5" t="str">
        <f>IFERROR(__xludf.DUMMYFUNCTION("IF(O410&lt;&gt;"""", GOOGLETRANSLATE(O410, ""RO"", ""EN""), """")"),"")</f>
        <v/>
      </c>
      <c r="E410" s="6" t="str">
        <f>IFERROR(__xludf.DUMMYFUNCTION("IF(P410&lt;&gt;"""", GOOGLETRANSLATE(P410, ""RO"", ""EN""), """")"),"Better")</f>
        <v>Better</v>
      </c>
      <c r="F410" s="5" t="str">
        <f>IFERROR(__xludf.DUMMYFUNCTION("IF(Q410&lt;&gt;"""", GOOGLETRANSLATE(Q410, ""RO"", ""EN""), """")"),"Better")</f>
        <v>Better</v>
      </c>
      <c r="G410" s="5" t="str">
        <f>IFERROR(__xludf.DUMMYFUNCTION("IF(R410&lt;&gt;"""", GOOGLETRANSLATE(R410, ""RO"", ""EN""), """")"),"About the same")</f>
        <v>About the same</v>
      </c>
      <c r="H410" s="5" t="str">
        <f>IFERROR(__xludf.DUMMYFUNCTION("IF(U410&lt;&gt;"""", GOOGLETRANSLATE(U410, ""RO"", ""EN""), """")"),"Worse")</f>
        <v>Worse</v>
      </c>
      <c r="I410" s="5" t="str">
        <f>IFERROR(__xludf.DUMMYFUNCTION("IF(V410&lt;&gt;"""", GOOGLETRANSLATE(V410, ""RO"", ""EN""), """")"),"Much worse")</f>
        <v>Much worse</v>
      </c>
      <c r="J410" s="5" t="str">
        <f>IFERROR(__xludf.DUMMYFUNCTION("IF(W410&lt;&gt;"""", GOOGLETRANSLATE(W410, ""RO"", ""EN""), """")"),"")</f>
        <v/>
      </c>
      <c r="K410" s="5" t="str">
        <f>IFERROR(__xludf.DUMMYFUNCTION("IF(X410&lt;&gt;"""", GOOGLETRANSLATE(X410, ""RO"", ""EN""), """")"),"")</f>
        <v/>
      </c>
      <c r="L410" s="5" t="str">
        <f>IFERROR(__xludf.DUMMYFUNCTION("IF(S410&lt;&gt;"""", GOOGLETRANSLATE(S410, ""RO"", ""EN""), """")"),"Ns")</f>
        <v>Ns</v>
      </c>
      <c r="M410" s="5" t="str">
        <f>IFERROR(__xludf.DUMMYFUNCTION("IF(T410&lt;&gt;"""", GOOGLETRANSLATE(T410, ""RO"", ""EN""), """")"),"No.")</f>
        <v>No.</v>
      </c>
      <c r="N410" s="5" t="str">
        <f>IFERROR(__xludf.DUMMYFUNCTION("IF(Y410&lt;&gt;"""", GOOGLETRANSLATE(Y410, ""RO"", ""EN""), """")"),"")</f>
        <v/>
      </c>
      <c r="P410" s="4" t="s">
        <v>120</v>
      </c>
      <c r="Q410" s="4" t="s">
        <v>121</v>
      </c>
      <c r="R410" s="4" t="s">
        <v>115</v>
      </c>
      <c r="S410" s="4" t="s">
        <v>103</v>
      </c>
      <c r="T410" s="4" t="s">
        <v>104</v>
      </c>
      <c r="U410" s="4" t="s">
        <v>122</v>
      </c>
      <c r="V410" s="4" t="s">
        <v>123</v>
      </c>
    </row>
    <row r="411" ht="15.75" customHeight="1">
      <c r="A411" s="4" t="s">
        <v>1295</v>
      </c>
      <c r="B411" s="4" t="s">
        <v>1296</v>
      </c>
      <c r="C411" s="4" t="str">
        <f>IFERROR(__xludf.DUMMYFUNCTION("GOOGLETRANSLATE(B411, ""RO"", ""EN"")"),"In the next 5 years, do you think that the economy of Romania ... will work better, worse or the same?")</f>
        <v>In the next 5 years, do you think that the economy of Romania ... will work better, worse or the same?</v>
      </c>
      <c r="D411" s="5" t="str">
        <f>IFERROR(__xludf.DUMMYFUNCTION("IF(O411&lt;&gt;"""", GOOGLETRANSLATE(O411, ""RO"", ""EN""), """")"),"")</f>
        <v/>
      </c>
      <c r="E411" s="6" t="str">
        <f>IFERROR(__xludf.DUMMYFUNCTION("IF(P411&lt;&gt;"""", GOOGLETRANSLATE(P411, ""RO"", ""EN""), """")"),"Much better / good")</f>
        <v>Much better / good</v>
      </c>
      <c r="F411" s="5" t="str">
        <f>IFERROR(__xludf.DUMMYFUNCTION("IF(Q411&lt;&gt;"""", GOOGLETRANSLATE(Q411, ""RO"", ""EN""), """")"),"Better/ good")</f>
        <v>Better/ good</v>
      </c>
      <c r="G411" s="5" t="str">
        <f>IFERROR(__xludf.DUMMYFUNCTION("IF(R411&lt;&gt;"""", GOOGLETRANSLATE(R411, ""RO"", ""EN""), """")"),"About the same")</f>
        <v>About the same</v>
      </c>
      <c r="H411" s="5" t="str">
        <f>IFERROR(__xludf.DUMMYFUNCTION("IF(U411&lt;&gt;"""", GOOGLETRANSLATE(U411, ""RO"", ""EN""), """")"),"Worse / rea")</f>
        <v>Worse / rea</v>
      </c>
      <c r="I411" s="5" t="str">
        <f>IFERROR(__xludf.DUMMYFUNCTION("IF(V411&lt;&gt;"""", GOOGLETRANSLATE(V411, ""RO"", ""EN""), """")"),"Much worse / bad")</f>
        <v>Much worse / bad</v>
      </c>
      <c r="J411" s="5" t="str">
        <f>IFERROR(__xludf.DUMMYFUNCTION("IF(W411&lt;&gt;"""", GOOGLETRANSLATE(W411, ""RO"", ""EN""), """")"),"")</f>
        <v/>
      </c>
      <c r="K411" s="5" t="str">
        <f>IFERROR(__xludf.DUMMYFUNCTION("IF(X411&lt;&gt;"""", GOOGLETRANSLATE(X411, ""RO"", ""EN""), """")"),"")</f>
        <v/>
      </c>
      <c r="L411" s="5" t="str">
        <f>IFERROR(__xludf.DUMMYFUNCTION("IF(S411&lt;&gt;"""", GOOGLETRANSLATE(S411, ""RO"", ""EN""), """")"),"Ns")</f>
        <v>Ns</v>
      </c>
      <c r="M411" s="5" t="str">
        <f>IFERROR(__xludf.DUMMYFUNCTION("IF(T411&lt;&gt;"""", GOOGLETRANSLATE(T411, ""RO"", ""EN""), """")"),"No.")</f>
        <v>No.</v>
      </c>
      <c r="N411" s="5" t="str">
        <f>IFERROR(__xludf.DUMMYFUNCTION("IF(Y411&lt;&gt;"""", GOOGLETRANSLATE(Y411, ""RO"", ""EN""), """")"),"")</f>
        <v/>
      </c>
      <c r="P411" s="4" t="s">
        <v>137</v>
      </c>
      <c r="Q411" s="4" t="s">
        <v>138</v>
      </c>
      <c r="R411" s="4" t="s">
        <v>115</v>
      </c>
      <c r="S411" s="4" t="s">
        <v>103</v>
      </c>
      <c r="T411" s="4" t="s">
        <v>104</v>
      </c>
      <c r="U411" s="4" t="s">
        <v>139</v>
      </c>
      <c r="V411" s="4" t="s">
        <v>140</v>
      </c>
    </row>
    <row r="412" ht="15.75" customHeight="1">
      <c r="A412" s="4" t="s">
        <v>1297</v>
      </c>
      <c r="B412" s="4" t="s">
        <v>1298</v>
      </c>
      <c r="C412" s="4" t="str">
        <f>IFERROR(__xludf.DUMMYFUNCTION("GOOGLETRANSLATE(B412, ""RO"", ""EN"")"),"In the next 5 years, do you think your economic situation ... will be better, worse or the same?")</f>
        <v>In the next 5 years, do you think your economic situation ... will be better, worse or the same?</v>
      </c>
      <c r="D412" s="5" t="str">
        <f>IFERROR(__xludf.DUMMYFUNCTION("IF(O412&lt;&gt;"""", GOOGLETRANSLATE(O412, ""RO"", ""EN""), """")"),"")</f>
        <v/>
      </c>
      <c r="E412" s="6" t="str">
        <f>IFERROR(__xludf.DUMMYFUNCTION("IF(P412&lt;&gt;"""", GOOGLETRANSLATE(P412, ""RO"", ""EN""), """")"),"Much better / good")</f>
        <v>Much better / good</v>
      </c>
      <c r="F412" s="5" t="str">
        <f>IFERROR(__xludf.DUMMYFUNCTION("IF(Q412&lt;&gt;"""", GOOGLETRANSLATE(Q412, ""RO"", ""EN""), """")"),"Better/ good")</f>
        <v>Better/ good</v>
      </c>
      <c r="G412" s="5" t="str">
        <f>IFERROR(__xludf.DUMMYFUNCTION("IF(R412&lt;&gt;"""", GOOGLETRANSLATE(R412, ""RO"", ""EN""), """")"),"About the same")</f>
        <v>About the same</v>
      </c>
      <c r="H412" s="5" t="str">
        <f>IFERROR(__xludf.DUMMYFUNCTION("IF(U412&lt;&gt;"""", GOOGLETRANSLATE(U412, ""RO"", ""EN""), """")"),"Worse / rea")</f>
        <v>Worse / rea</v>
      </c>
      <c r="I412" s="5" t="str">
        <f>IFERROR(__xludf.DUMMYFUNCTION("IF(V412&lt;&gt;"""", GOOGLETRANSLATE(V412, ""RO"", ""EN""), """")"),"Much worse / bad")</f>
        <v>Much worse / bad</v>
      </c>
      <c r="J412" s="5" t="str">
        <f>IFERROR(__xludf.DUMMYFUNCTION("IF(W412&lt;&gt;"""", GOOGLETRANSLATE(W412, ""RO"", ""EN""), """")"),"")</f>
        <v/>
      </c>
      <c r="K412" s="5" t="str">
        <f>IFERROR(__xludf.DUMMYFUNCTION("IF(X412&lt;&gt;"""", GOOGLETRANSLATE(X412, ""RO"", ""EN""), """")"),"")</f>
        <v/>
      </c>
      <c r="L412" s="5" t="str">
        <f>IFERROR(__xludf.DUMMYFUNCTION("IF(S412&lt;&gt;"""", GOOGLETRANSLATE(S412, ""RO"", ""EN""), """")"),"Ns")</f>
        <v>Ns</v>
      </c>
      <c r="M412" s="5" t="str">
        <f>IFERROR(__xludf.DUMMYFUNCTION("IF(T412&lt;&gt;"""", GOOGLETRANSLATE(T412, ""RO"", ""EN""), """")"),"No.")</f>
        <v>No.</v>
      </c>
      <c r="N412" s="5" t="str">
        <f>IFERROR(__xludf.DUMMYFUNCTION("IF(Y412&lt;&gt;"""", GOOGLETRANSLATE(Y412, ""RO"", ""EN""), """")"),"")</f>
        <v/>
      </c>
      <c r="P412" s="4" t="s">
        <v>137</v>
      </c>
      <c r="Q412" s="4" t="s">
        <v>138</v>
      </c>
      <c r="R412" s="4" t="s">
        <v>115</v>
      </c>
      <c r="S412" s="4" t="s">
        <v>103</v>
      </c>
      <c r="T412" s="4" t="s">
        <v>104</v>
      </c>
      <c r="U412" s="4" t="s">
        <v>139</v>
      </c>
      <c r="V412" s="4" t="s">
        <v>140</v>
      </c>
    </row>
    <row r="413" ht="15.75" customHeight="1">
      <c r="A413" s="4" t="s">
        <v>1299</v>
      </c>
      <c r="B413" s="4" t="s">
        <v>1300</v>
      </c>
      <c r="C413" s="4" t="str">
        <f>IFERROR(__xludf.DUMMYFUNCTION("GOOGLETRANSLATE(B413, ""RO"", ""EN"")"),"On a scale from 0 to 10, where 0 means very unhappy and 10 very pleased how dissatisfied or satisfied are you ...? Your life in general")</f>
        <v>On a scale from 0 to 10, where 0 means very unhappy and 10 very pleased how dissatisfied or satisfied are you ...? Your life in general</v>
      </c>
      <c r="D413" s="5" t="str">
        <f>IFERROR(__xludf.DUMMYFUNCTION("IF(O413&lt;&gt;"""", GOOGLETRANSLATE(O413, ""RO"", ""EN""), """")"),"Very dissatisfied")</f>
        <v>Very dissatisfied</v>
      </c>
      <c r="E413" s="6" t="str">
        <f>IFERROR(__xludf.DUMMYFUNCTION("IF(P413&lt;&gt;"""", GOOGLETRANSLATE(P413, ""RO"", ""EN""), """")"),"1")</f>
        <v>1</v>
      </c>
      <c r="F413" s="5" t="str">
        <f>IFERROR(__xludf.DUMMYFUNCTION("IF(Q413&lt;&gt;"""", GOOGLETRANSLATE(Q413, ""RO"", ""EN""), """")"),"2")</f>
        <v>2</v>
      </c>
      <c r="G413" s="5" t="str">
        <f>IFERROR(__xludf.DUMMYFUNCTION("IF(R413&lt;&gt;"""", GOOGLETRANSLATE(R413, ""RO"", ""EN""), """")"),"3")</f>
        <v>3</v>
      </c>
      <c r="H413" s="5" t="str">
        <f>IFERROR(__xludf.DUMMYFUNCTION("IF(U413&lt;&gt;"""", GOOGLETRANSLATE(U413, ""RO"", ""EN""), """")"),"4")</f>
        <v>4</v>
      </c>
      <c r="I413" s="5" t="str">
        <f>IFERROR(__xludf.DUMMYFUNCTION("IF(V413&lt;&gt;"""", GOOGLETRANSLATE(V413, ""RO"", ""EN""), """")"),"5")</f>
        <v>5</v>
      </c>
      <c r="J413" s="5" t="str">
        <f>IFERROR(__xludf.DUMMYFUNCTION("IF(W413&lt;&gt;"""", GOOGLETRANSLATE(W413, ""RO"", ""EN""), """")"),"6")</f>
        <v>6</v>
      </c>
      <c r="K413" s="5" t="str">
        <f>IFERROR(__xludf.DUMMYFUNCTION("IF(X413&lt;&gt;"""", GOOGLETRANSLATE(X413, ""RO"", ""EN""), """")"),"7")</f>
        <v>7</v>
      </c>
      <c r="L413" s="5" t="str">
        <f>IFERROR(__xludf.DUMMYFUNCTION("IF(S413&lt;&gt;"""", GOOGLETRANSLATE(S413, ""RO"", ""EN""), """")"),"8")</f>
        <v>8</v>
      </c>
      <c r="M413" s="5" t="str">
        <f>IFERROR(__xludf.DUMMYFUNCTION("IF(T413&lt;&gt;"""", GOOGLETRANSLATE(T413, ""RO"", ""EN""), """")"),"9")</f>
        <v>9</v>
      </c>
      <c r="N413" s="5" t="str">
        <f>IFERROR(__xludf.DUMMYFUNCTION("IF(Y413&lt;&gt;"""", GOOGLETRANSLATE(Y413, ""RO"", ""EN""), """")"),"Very pleased")</f>
        <v>Very pleased</v>
      </c>
      <c r="O413" s="4" t="s">
        <v>167</v>
      </c>
      <c r="P413" s="4" t="s">
        <v>168</v>
      </c>
      <c r="Q413" s="4" t="s">
        <v>169</v>
      </c>
      <c r="R413" s="4" t="s">
        <v>170</v>
      </c>
      <c r="S413" s="4" t="s">
        <v>171</v>
      </c>
      <c r="T413" s="4" t="s">
        <v>172</v>
      </c>
      <c r="U413" s="4" t="s">
        <v>173</v>
      </c>
      <c r="V413" s="4" t="s">
        <v>174</v>
      </c>
      <c r="W413" s="4" t="s">
        <v>175</v>
      </c>
      <c r="X413" s="4" t="s">
        <v>176</v>
      </c>
      <c r="Y413" s="4" t="s">
        <v>110</v>
      </c>
      <c r="Z413" s="4" t="s">
        <v>177</v>
      </c>
      <c r="AA413" s="4" t="s">
        <v>103</v>
      </c>
      <c r="AB413" s="4" t="s">
        <v>104</v>
      </c>
    </row>
    <row r="414" ht="15.75" customHeight="1">
      <c r="A414" s="4" t="s">
        <v>1301</v>
      </c>
      <c r="B414" s="4" t="s">
        <v>179</v>
      </c>
      <c r="C414" s="4" t="str">
        <f>IFERROR(__xludf.DUMMYFUNCTION("GOOGLETRANSLATE(B414, ""RO"", ""EN"")"),"Your education")</f>
        <v>Your education</v>
      </c>
      <c r="D414" s="5" t="str">
        <f>IFERROR(__xludf.DUMMYFUNCTION("IF(O414&lt;&gt;"""", GOOGLETRANSLATE(O414, ""RO"", ""EN""), """")"),"Very dissatisfied")</f>
        <v>Very dissatisfied</v>
      </c>
      <c r="E414" s="6" t="str">
        <f>IFERROR(__xludf.DUMMYFUNCTION("IF(P414&lt;&gt;"""", GOOGLETRANSLATE(P414, ""RO"", ""EN""), """")"),"1")</f>
        <v>1</v>
      </c>
      <c r="F414" s="5" t="str">
        <f>IFERROR(__xludf.DUMMYFUNCTION("IF(Q414&lt;&gt;"""", GOOGLETRANSLATE(Q414, ""RO"", ""EN""), """")"),"2")</f>
        <v>2</v>
      </c>
      <c r="G414" s="5" t="str">
        <f>IFERROR(__xludf.DUMMYFUNCTION("IF(R414&lt;&gt;"""", GOOGLETRANSLATE(R414, ""RO"", ""EN""), """")"),"3")</f>
        <v>3</v>
      </c>
      <c r="H414" s="5" t="str">
        <f>IFERROR(__xludf.DUMMYFUNCTION("IF(U414&lt;&gt;"""", GOOGLETRANSLATE(U414, ""RO"", ""EN""), """")"),"4")</f>
        <v>4</v>
      </c>
      <c r="I414" s="5" t="str">
        <f>IFERROR(__xludf.DUMMYFUNCTION("IF(V414&lt;&gt;"""", GOOGLETRANSLATE(V414, ""RO"", ""EN""), """")"),"5")</f>
        <v>5</v>
      </c>
      <c r="J414" s="5" t="str">
        <f>IFERROR(__xludf.DUMMYFUNCTION("IF(W414&lt;&gt;"""", GOOGLETRANSLATE(W414, ""RO"", ""EN""), """")"),"6")</f>
        <v>6</v>
      </c>
      <c r="K414" s="5" t="str">
        <f>IFERROR(__xludf.DUMMYFUNCTION("IF(X414&lt;&gt;"""", GOOGLETRANSLATE(X414, ""RO"", ""EN""), """")"),"7")</f>
        <v>7</v>
      </c>
      <c r="L414" s="5" t="str">
        <f>IFERROR(__xludf.DUMMYFUNCTION("IF(S414&lt;&gt;"""", GOOGLETRANSLATE(S414, ""RO"", ""EN""), """")"),"8")</f>
        <v>8</v>
      </c>
      <c r="M414" s="5" t="str">
        <f>IFERROR(__xludf.DUMMYFUNCTION("IF(T414&lt;&gt;"""", GOOGLETRANSLATE(T414, ""RO"", ""EN""), """")"),"9")</f>
        <v>9</v>
      </c>
      <c r="N414" s="5" t="str">
        <f>IFERROR(__xludf.DUMMYFUNCTION("IF(Y414&lt;&gt;"""", GOOGLETRANSLATE(Y414, ""RO"", ""EN""), """")"),"Very pleased")</f>
        <v>Very pleased</v>
      </c>
      <c r="O414" s="4" t="s">
        <v>167</v>
      </c>
      <c r="P414" s="4" t="s">
        <v>168</v>
      </c>
      <c r="Q414" s="4" t="s">
        <v>169</v>
      </c>
      <c r="R414" s="4" t="s">
        <v>170</v>
      </c>
      <c r="S414" s="4" t="s">
        <v>171</v>
      </c>
      <c r="T414" s="4" t="s">
        <v>172</v>
      </c>
      <c r="U414" s="4" t="s">
        <v>173</v>
      </c>
      <c r="V414" s="4" t="s">
        <v>174</v>
      </c>
      <c r="W414" s="4" t="s">
        <v>175</v>
      </c>
      <c r="X414" s="4" t="s">
        <v>176</v>
      </c>
      <c r="Y414" s="4" t="s">
        <v>110</v>
      </c>
      <c r="Z414" s="4" t="s">
        <v>177</v>
      </c>
      <c r="AA414" s="4" t="s">
        <v>103</v>
      </c>
      <c r="AB414" s="4" t="s">
        <v>104</v>
      </c>
    </row>
    <row r="415" ht="15.75" customHeight="1">
      <c r="A415" s="4" t="s">
        <v>1302</v>
      </c>
      <c r="B415" s="4" t="s">
        <v>181</v>
      </c>
      <c r="C415" s="4" t="str">
        <f>IFERROR(__xludf.DUMMYFUNCTION("GOOGLETRANSLATE(B415, ""RO"", ""EN"")"),"Your job")</f>
        <v>Your job</v>
      </c>
      <c r="D415" s="5" t="str">
        <f>IFERROR(__xludf.DUMMYFUNCTION("IF(O415&lt;&gt;"""", GOOGLETRANSLATE(O415, ""RO"", ""EN""), """")"),"Very dissatisfied")</f>
        <v>Very dissatisfied</v>
      </c>
      <c r="E415" s="6" t="str">
        <f>IFERROR(__xludf.DUMMYFUNCTION("IF(P415&lt;&gt;"""", GOOGLETRANSLATE(P415, ""RO"", ""EN""), """")"),"1")</f>
        <v>1</v>
      </c>
      <c r="F415" s="5" t="str">
        <f>IFERROR(__xludf.DUMMYFUNCTION("IF(Q415&lt;&gt;"""", GOOGLETRANSLATE(Q415, ""RO"", ""EN""), """")"),"2")</f>
        <v>2</v>
      </c>
      <c r="G415" s="5" t="str">
        <f>IFERROR(__xludf.DUMMYFUNCTION("IF(R415&lt;&gt;"""", GOOGLETRANSLATE(R415, ""RO"", ""EN""), """")"),"3")</f>
        <v>3</v>
      </c>
      <c r="H415" s="5" t="str">
        <f>IFERROR(__xludf.DUMMYFUNCTION("IF(U415&lt;&gt;"""", GOOGLETRANSLATE(U415, ""RO"", ""EN""), """")"),"4")</f>
        <v>4</v>
      </c>
      <c r="I415" s="5" t="str">
        <f>IFERROR(__xludf.DUMMYFUNCTION("IF(V415&lt;&gt;"""", GOOGLETRANSLATE(V415, ""RO"", ""EN""), """")"),"5")</f>
        <v>5</v>
      </c>
      <c r="J415" s="5" t="str">
        <f>IFERROR(__xludf.DUMMYFUNCTION("IF(W415&lt;&gt;"""", GOOGLETRANSLATE(W415, ""RO"", ""EN""), """")"),"6")</f>
        <v>6</v>
      </c>
      <c r="K415" s="5" t="str">
        <f>IFERROR(__xludf.DUMMYFUNCTION("IF(X415&lt;&gt;"""", GOOGLETRANSLATE(X415, ""RO"", ""EN""), """")"),"7")</f>
        <v>7</v>
      </c>
      <c r="L415" s="5" t="str">
        <f>IFERROR(__xludf.DUMMYFUNCTION("IF(S415&lt;&gt;"""", GOOGLETRANSLATE(S415, ""RO"", ""EN""), """")"),"8")</f>
        <v>8</v>
      </c>
      <c r="M415" s="5" t="str">
        <f>IFERROR(__xludf.DUMMYFUNCTION("IF(T415&lt;&gt;"""", GOOGLETRANSLATE(T415, ""RO"", ""EN""), """")"),"9")</f>
        <v>9</v>
      </c>
      <c r="N415" s="5" t="str">
        <f>IFERROR(__xludf.DUMMYFUNCTION("IF(Y415&lt;&gt;"""", GOOGLETRANSLATE(Y415, ""RO"", ""EN""), """")"),"Very pleased")</f>
        <v>Very pleased</v>
      </c>
      <c r="O415" s="4" t="s">
        <v>167</v>
      </c>
      <c r="P415" s="4" t="s">
        <v>168</v>
      </c>
      <c r="Q415" s="4" t="s">
        <v>169</v>
      </c>
      <c r="R415" s="4" t="s">
        <v>170</v>
      </c>
      <c r="S415" s="4" t="s">
        <v>171</v>
      </c>
      <c r="T415" s="4" t="s">
        <v>172</v>
      </c>
      <c r="U415" s="4" t="s">
        <v>173</v>
      </c>
      <c r="V415" s="4" t="s">
        <v>174</v>
      </c>
      <c r="W415" s="4" t="s">
        <v>175</v>
      </c>
      <c r="X415" s="4" t="s">
        <v>176</v>
      </c>
      <c r="Y415" s="4" t="s">
        <v>110</v>
      </c>
      <c r="Z415" s="4" t="s">
        <v>177</v>
      </c>
      <c r="AA415" s="4" t="s">
        <v>103</v>
      </c>
      <c r="AB415" s="4" t="s">
        <v>104</v>
      </c>
    </row>
    <row r="416" ht="15.75" customHeight="1">
      <c r="A416" s="4" t="s">
        <v>1303</v>
      </c>
      <c r="B416" s="4" t="s">
        <v>183</v>
      </c>
      <c r="C416" s="4" t="str">
        <f>IFERROR(__xludf.DUMMYFUNCTION("GOOGLETRANSLATE(B416, ""RO"", ""EN"")"),"Your living level")</f>
        <v>Your living level</v>
      </c>
      <c r="D416" s="5" t="str">
        <f>IFERROR(__xludf.DUMMYFUNCTION("IF(O416&lt;&gt;"""", GOOGLETRANSLATE(O416, ""RO"", ""EN""), """")"),"Very dissatisfied")</f>
        <v>Very dissatisfied</v>
      </c>
      <c r="E416" s="6" t="str">
        <f>IFERROR(__xludf.DUMMYFUNCTION("IF(P416&lt;&gt;"""", GOOGLETRANSLATE(P416, ""RO"", ""EN""), """")"),"1")</f>
        <v>1</v>
      </c>
      <c r="F416" s="5" t="str">
        <f>IFERROR(__xludf.DUMMYFUNCTION("IF(Q416&lt;&gt;"""", GOOGLETRANSLATE(Q416, ""RO"", ""EN""), """")"),"2")</f>
        <v>2</v>
      </c>
      <c r="G416" s="5" t="str">
        <f>IFERROR(__xludf.DUMMYFUNCTION("IF(R416&lt;&gt;"""", GOOGLETRANSLATE(R416, ""RO"", ""EN""), """")"),"3")</f>
        <v>3</v>
      </c>
      <c r="H416" s="5" t="str">
        <f>IFERROR(__xludf.DUMMYFUNCTION("IF(U416&lt;&gt;"""", GOOGLETRANSLATE(U416, ""RO"", ""EN""), """")"),"4")</f>
        <v>4</v>
      </c>
      <c r="I416" s="5" t="str">
        <f>IFERROR(__xludf.DUMMYFUNCTION("IF(V416&lt;&gt;"""", GOOGLETRANSLATE(V416, ""RO"", ""EN""), """")"),"5")</f>
        <v>5</v>
      </c>
      <c r="J416" s="5" t="str">
        <f>IFERROR(__xludf.DUMMYFUNCTION("IF(W416&lt;&gt;"""", GOOGLETRANSLATE(W416, ""RO"", ""EN""), """")"),"6")</f>
        <v>6</v>
      </c>
      <c r="K416" s="5" t="str">
        <f>IFERROR(__xludf.DUMMYFUNCTION("IF(X416&lt;&gt;"""", GOOGLETRANSLATE(X416, ""RO"", ""EN""), """")"),"7")</f>
        <v>7</v>
      </c>
      <c r="L416" s="5" t="str">
        <f>IFERROR(__xludf.DUMMYFUNCTION("IF(S416&lt;&gt;"""", GOOGLETRANSLATE(S416, ""RO"", ""EN""), """")"),"8")</f>
        <v>8</v>
      </c>
      <c r="M416" s="5" t="str">
        <f>IFERROR(__xludf.DUMMYFUNCTION("IF(T416&lt;&gt;"""", GOOGLETRANSLATE(T416, ""RO"", ""EN""), """")"),"9")</f>
        <v>9</v>
      </c>
      <c r="N416" s="5" t="str">
        <f>IFERROR(__xludf.DUMMYFUNCTION("IF(Y416&lt;&gt;"""", GOOGLETRANSLATE(Y416, ""RO"", ""EN""), """")"),"Very pleased")</f>
        <v>Very pleased</v>
      </c>
      <c r="O416" s="4" t="s">
        <v>167</v>
      </c>
      <c r="P416" s="4" t="s">
        <v>168</v>
      </c>
      <c r="Q416" s="4" t="s">
        <v>169</v>
      </c>
      <c r="R416" s="4" t="s">
        <v>170</v>
      </c>
      <c r="S416" s="4" t="s">
        <v>171</v>
      </c>
      <c r="T416" s="4" t="s">
        <v>172</v>
      </c>
      <c r="U416" s="4" t="s">
        <v>173</v>
      </c>
      <c r="V416" s="4" t="s">
        <v>174</v>
      </c>
      <c r="W416" s="4" t="s">
        <v>175</v>
      </c>
      <c r="X416" s="4" t="s">
        <v>176</v>
      </c>
      <c r="Y416" s="4" t="s">
        <v>110</v>
      </c>
      <c r="Z416" s="4" t="s">
        <v>177</v>
      </c>
      <c r="AA416" s="4" t="s">
        <v>103</v>
      </c>
      <c r="AB416" s="4" t="s">
        <v>104</v>
      </c>
    </row>
    <row r="417" ht="15.75" customHeight="1">
      <c r="A417" s="4" t="s">
        <v>1304</v>
      </c>
      <c r="B417" s="4" t="s">
        <v>185</v>
      </c>
      <c r="C417" s="4" t="str">
        <f>IFERROR(__xludf.DUMMYFUNCTION("GOOGLETRANSLATE(B417, ""RO"", ""EN"")"),"living conditions")</f>
        <v>living conditions</v>
      </c>
      <c r="D417" s="5" t="str">
        <f>IFERROR(__xludf.DUMMYFUNCTION("IF(O417&lt;&gt;"""", GOOGLETRANSLATE(O417, ""RO"", ""EN""), """")"),"Very dissatisfied")</f>
        <v>Very dissatisfied</v>
      </c>
      <c r="E417" s="6" t="str">
        <f>IFERROR(__xludf.DUMMYFUNCTION("IF(P417&lt;&gt;"""", GOOGLETRANSLATE(P417, ""RO"", ""EN""), """")"),"1")</f>
        <v>1</v>
      </c>
      <c r="F417" s="5" t="str">
        <f>IFERROR(__xludf.DUMMYFUNCTION("IF(Q417&lt;&gt;"""", GOOGLETRANSLATE(Q417, ""RO"", ""EN""), """")"),"2")</f>
        <v>2</v>
      </c>
      <c r="G417" s="5" t="str">
        <f>IFERROR(__xludf.DUMMYFUNCTION("IF(R417&lt;&gt;"""", GOOGLETRANSLATE(R417, ""RO"", ""EN""), """")"),"3")</f>
        <v>3</v>
      </c>
      <c r="H417" s="5" t="str">
        <f>IFERROR(__xludf.DUMMYFUNCTION("IF(U417&lt;&gt;"""", GOOGLETRANSLATE(U417, ""RO"", ""EN""), """")"),"4")</f>
        <v>4</v>
      </c>
      <c r="I417" s="5" t="str">
        <f>IFERROR(__xludf.DUMMYFUNCTION("IF(V417&lt;&gt;"""", GOOGLETRANSLATE(V417, ""RO"", ""EN""), """")"),"5")</f>
        <v>5</v>
      </c>
      <c r="J417" s="5" t="str">
        <f>IFERROR(__xludf.DUMMYFUNCTION("IF(W417&lt;&gt;"""", GOOGLETRANSLATE(W417, ""RO"", ""EN""), """")"),"6")</f>
        <v>6</v>
      </c>
      <c r="K417" s="5" t="str">
        <f>IFERROR(__xludf.DUMMYFUNCTION("IF(X417&lt;&gt;"""", GOOGLETRANSLATE(X417, ""RO"", ""EN""), """")"),"7")</f>
        <v>7</v>
      </c>
      <c r="L417" s="5" t="str">
        <f>IFERROR(__xludf.DUMMYFUNCTION("IF(S417&lt;&gt;"""", GOOGLETRANSLATE(S417, ""RO"", ""EN""), """")"),"8")</f>
        <v>8</v>
      </c>
      <c r="M417" s="5" t="str">
        <f>IFERROR(__xludf.DUMMYFUNCTION("IF(T417&lt;&gt;"""", GOOGLETRANSLATE(T417, ""RO"", ""EN""), """")"),"9")</f>
        <v>9</v>
      </c>
      <c r="N417" s="5" t="str">
        <f>IFERROR(__xludf.DUMMYFUNCTION("IF(Y417&lt;&gt;"""", GOOGLETRANSLATE(Y417, ""RO"", ""EN""), """")"),"Very pleased")</f>
        <v>Very pleased</v>
      </c>
      <c r="O417" s="4" t="s">
        <v>167</v>
      </c>
      <c r="P417" s="4" t="s">
        <v>168</v>
      </c>
      <c r="Q417" s="4" t="s">
        <v>169</v>
      </c>
      <c r="R417" s="4" t="s">
        <v>170</v>
      </c>
      <c r="S417" s="4" t="s">
        <v>171</v>
      </c>
      <c r="T417" s="4" t="s">
        <v>172</v>
      </c>
      <c r="U417" s="4" t="s">
        <v>173</v>
      </c>
      <c r="V417" s="4" t="s">
        <v>174</v>
      </c>
      <c r="W417" s="4" t="s">
        <v>175</v>
      </c>
      <c r="X417" s="4" t="s">
        <v>176</v>
      </c>
      <c r="Y417" s="4" t="s">
        <v>110</v>
      </c>
      <c r="Z417" s="4" t="s">
        <v>177</v>
      </c>
      <c r="AA417" s="4" t="s">
        <v>103</v>
      </c>
      <c r="AB417" s="4" t="s">
        <v>104</v>
      </c>
    </row>
    <row r="418" ht="15.75" customHeight="1">
      <c r="A418" s="4" t="s">
        <v>1305</v>
      </c>
      <c r="B418" s="4" t="s">
        <v>187</v>
      </c>
      <c r="C418" s="4" t="str">
        <f>IFERROR(__xludf.DUMMYFUNCTION("GOOGLETRANSLATE(B418, ""RO"", ""EN"")"),"familly life")</f>
        <v>familly life</v>
      </c>
      <c r="D418" s="5" t="str">
        <f>IFERROR(__xludf.DUMMYFUNCTION("IF(O418&lt;&gt;"""", GOOGLETRANSLATE(O418, ""RO"", ""EN""), """")"),"Very dissatisfied")</f>
        <v>Very dissatisfied</v>
      </c>
      <c r="E418" s="6" t="str">
        <f>IFERROR(__xludf.DUMMYFUNCTION("IF(P418&lt;&gt;"""", GOOGLETRANSLATE(P418, ""RO"", ""EN""), """")"),"1")</f>
        <v>1</v>
      </c>
      <c r="F418" s="5" t="str">
        <f>IFERROR(__xludf.DUMMYFUNCTION("IF(Q418&lt;&gt;"""", GOOGLETRANSLATE(Q418, ""RO"", ""EN""), """")"),"2")</f>
        <v>2</v>
      </c>
      <c r="G418" s="5" t="str">
        <f>IFERROR(__xludf.DUMMYFUNCTION("IF(R418&lt;&gt;"""", GOOGLETRANSLATE(R418, ""RO"", ""EN""), """")"),"3")</f>
        <v>3</v>
      </c>
      <c r="H418" s="5" t="str">
        <f>IFERROR(__xludf.DUMMYFUNCTION("IF(U418&lt;&gt;"""", GOOGLETRANSLATE(U418, ""RO"", ""EN""), """")"),"4")</f>
        <v>4</v>
      </c>
      <c r="I418" s="5" t="str">
        <f>IFERROR(__xludf.DUMMYFUNCTION("IF(V418&lt;&gt;"""", GOOGLETRANSLATE(V418, ""RO"", ""EN""), """")"),"5")</f>
        <v>5</v>
      </c>
      <c r="J418" s="5" t="str">
        <f>IFERROR(__xludf.DUMMYFUNCTION("IF(W418&lt;&gt;"""", GOOGLETRANSLATE(W418, ""RO"", ""EN""), """")"),"6")</f>
        <v>6</v>
      </c>
      <c r="K418" s="5" t="str">
        <f>IFERROR(__xludf.DUMMYFUNCTION("IF(X418&lt;&gt;"""", GOOGLETRANSLATE(X418, ""RO"", ""EN""), """")"),"7")</f>
        <v>7</v>
      </c>
      <c r="L418" s="5" t="str">
        <f>IFERROR(__xludf.DUMMYFUNCTION("IF(S418&lt;&gt;"""", GOOGLETRANSLATE(S418, ""RO"", ""EN""), """")"),"8")</f>
        <v>8</v>
      </c>
      <c r="M418" s="5" t="str">
        <f>IFERROR(__xludf.DUMMYFUNCTION("IF(T418&lt;&gt;"""", GOOGLETRANSLATE(T418, ""RO"", ""EN""), """")"),"9")</f>
        <v>9</v>
      </c>
      <c r="N418" s="5" t="str">
        <f>IFERROR(__xludf.DUMMYFUNCTION("IF(Y418&lt;&gt;"""", GOOGLETRANSLATE(Y418, ""RO"", ""EN""), """")"),"Very pleased")</f>
        <v>Very pleased</v>
      </c>
      <c r="O418" s="4" t="s">
        <v>167</v>
      </c>
      <c r="P418" s="4" t="s">
        <v>168</v>
      </c>
      <c r="Q418" s="4" t="s">
        <v>169</v>
      </c>
      <c r="R418" s="4" t="s">
        <v>170</v>
      </c>
      <c r="S418" s="4" t="s">
        <v>171</v>
      </c>
      <c r="T418" s="4" t="s">
        <v>172</v>
      </c>
      <c r="U418" s="4" t="s">
        <v>173</v>
      </c>
      <c r="V418" s="4" t="s">
        <v>174</v>
      </c>
      <c r="W418" s="4" t="s">
        <v>175</v>
      </c>
      <c r="X418" s="4" t="s">
        <v>176</v>
      </c>
      <c r="Y418" s="4" t="s">
        <v>110</v>
      </c>
      <c r="Z418" s="4" t="s">
        <v>177</v>
      </c>
      <c r="AA418" s="4" t="s">
        <v>103</v>
      </c>
      <c r="AB418" s="4" t="s">
        <v>104</v>
      </c>
    </row>
    <row r="419" ht="15.75" customHeight="1">
      <c r="A419" s="4" t="s">
        <v>1306</v>
      </c>
      <c r="B419" s="4" t="s">
        <v>189</v>
      </c>
      <c r="C419" s="4" t="str">
        <f>IFERROR(__xludf.DUMMYFUNCTION("GOOGLETRANSLATE(B419, ""RO"", ""EN"")"),"your health")</f>
        <v>your health</v>
      </c>
      <c r="D419" s="5" t="str">
        <f>IFERROR(__xludf.DUMMYFUNCTION("IF(O419&lt;&gt;"""", GOOGLETRANSLATE(O419, ""RO"", ""EN""), """")"),"Very dissatisfied")</f>
        <v>Very dissatisfied</v>
      </c>
      <c r="E419" s="6" t="str">
        <f>IFERROR(__xludf.DUMMYFUNCTION("IF(P419&lt;&gt;"""", GOOGLETRANSLATE(P419, ""RO"", ""EN""), """")"),"1")</f>
        <v>1</v>
      </c>
      <c r="F419" s="5" t="str">
        <f>IFERROR(__xludf.DUMMYFUNCTION("IF(Q419&lt;&gt;"""", GOOGLETRANSLATE(Q419, ""RO"", ""EN""), """")"),"2")</f>
        <v>2</v>
      </c>
      <c r="G419" s="5" t="str">
        <f>IFERROR(__xludf.DUMMYFUNCTION("IF(R419&lt;&gt;"""", GOOGLETRANSLATE(R419, ""RO"", ""EN""), """")"),"3")</f>
        <v>3</v>
      </c>
      <c r="H419" s="5" t="str">
        <f>IFERROR(__xludf.DUMMYFUNCTION("IF(U419&lt;&gt;"""", GOOGLETRANSLATE(U419, ""RO"", ""EN""), """")"),"4")</f>
        <v>4</v>
      </c>
      <c r="I419" s="5" t="str">
        <f>IFERROR(__xludf.DUMMYFUNCTION("IF(V419&lt;&gt;"""", GOOGLETRANSLATE(V419, ""RO"", ""EN""), """")"),"5")</f>
        <v>5</v>
      </c>
      <c r="J419" s="5" t="str">
        <f>IFERROR(__xludf.DUMMYFUNCTION("IF(W419&lt;&gt;"""", GOOGLETRANSLATE(W419, ""RO"", ""EN""), """")"),"6")</f>
        <v>6</v>
      </c>
      <c r="K419" s="5" t="str">
        <f>IFERROR(__xludf.DUMMYFUNCTION("IF(X419&lt;&gt;"""", GOOGLETRANSLATE(X419, ""RO"", ""EN""), """")"),"7")</f>
        <v>7</v>
      </c>
      <c r="L419" s="5" t="str">
        <f>IFERROR(__xludf.DUMMYFUNCTION("IF(S419&lt;&gt;"""", GOOGLETRANSLATE(S419, ""RO"", ""EN""), """")"),"8")</f>
        <v>8</v>
      </c>
      <c r="M419" s="5" t="str">
        <f>IFERROR(__xludf.DUMMYFUNCTION("IF(T419&lt;&gt;"""", GOOGLETRANSLATE(T419, ""RO"", ""EN""), """")"),"9")</f>
        <v>9</v>
      </c>
      <c r="N419" s="5" t="str">
        <f>IFERROR(__xludf.DUMMYFUNCTION("IF(Y419&lt;&gt;"""", GOOGLETRANSLATE(Y419, ""RO"", ""EN""), """")"),"Very pleased")</f>
        <v>Very pleased</v>
      </c>
      <c r="O419" s="4" t="s">
        <v>167</v>
      </c>
      <c r="P419" s="4" t="s">
        <v>168</v>
      </c>
      <c r="Q419" s="4" t="s">
        <v>169</v>
      </c>
      <c r="R419" s="4" t="s">
        <v>170</v>
      </c>
      <c r="S419" s="4" t="s">
        <v>171</v>
      </c>
      <c r="T419" s="4" t="s">
        <v>172</v>
      </c>
      <c r="U419" s="4" t="s">
        <v>173</v>
      </c>
      <c r="V419" s="4" t="s">
        <v>174</v>
      </c>
      <c r="W419" s="4" t="s">
        <v>175</v>
      </c>
      <c r="X419" s="4" t="s">
        <v>176</v>
      </c>
      <c r="Y419" s="4" t="s">
        <v>110</v>
      </c>
      <c r="Z419" s="4" t="s">
        <v>177</v>
      </c>
      <c r="AA419" s="4" t="s">
        <v>103</v>
      </c>
      <c r="AB419" s="4" t="s">
        <v>104</v>
      </c>
    </row>
    <row r="420" ht="15.75" customHeight="1">
      <c r="A420" s="4" t="s">
        <v>1307</v>
      </c>
      <c r="B420" s="4" t="s">
        <v>191</v>
      </c>
      <c r="C420" s="4" t="str">
        <f>IFERROR(__xludf.DUMMYFUNCTION("GOOGLETRANSLATE(B420, ""RO"", ""EN"")"),"Your social life (how do you spend your free time)")</f>
        <v>Your social life (how do you spend your free time)</v>
      </c>
      <c r="D420" s="5" t="str">
        <f>IFERROR(__xludf.DUMMYFUNCTION("IF(O420&lt;&gt;"""", GOOGLETRANSLATE(O420, ""RO"", ""EN""), """")"),"Very dissatisfied")</f>
        <v>Very dissatisfied</v>
      </c>
      <c r="E420" s="6" t="str">
        <f>IFERROR(__xludf.DUMMYFUNCTION("IF(P420&lt;&gt;"""", GOOGLETRANSLATE(P420, ""RO"", ""EN""), """")"),"1")</f>
        <v>1</v>
      </c>
      <c r="F420" s="5" t="str">
        <f>IFERROR(__xludf.DUMMYFUNCTION("IF(Q420&lt;&gt;"""", GOOGLETRANSLATE(Q420, ""RO"", ""EN""), """")"),"2")</f>
        <v>2</v>
      </c>
      <c r="G420" s="5" t="str">
        <f>IFERROR(__xludf.DUMMYFUNCTION("IF(R420&lt;&gt;"""", GOOGLETRANSLATE(R420, ""RO"", ""EN""), """")"),"3")</f>
        <v>3</v>
      </c>
      <c r="H420" s="5" t="str">
        <f>IFERROR(__xludf.DUMMYFUNCTION("IF(U420&lt;&gt;"""", GOOGLETRANSLATE(U420, ""RO"", ""EN""), """")"),"4")</f>
        <v>4</v>
      </c>
      <c r="I420" s="5" t="str">
        <f>IFERROR(__xludf.DUMMYFUNCTION("IF(V420&lt;&gt;"""", GOOGLETRANSLATE(V420, ""RO"", ""EN""), """")"),"5")</f>
        <v>5</v>
      </c>
      <c r="J420" s="5" t="str">
        <f>IFERROR(__xludf.DUMMYFUNCTION("IF(W420&lt;&gt;"""", GOOGLETRANSLATE(W420, ""RO"", ""EN""), """")"),"6")</f>
        <v>6</v>
      </c>
      <c r="K420" s="5" t="str">
        <f>IFERROR(__xludf.DUMMYFUNCTION("IF(X420&lt;&gt;"""", GOOGLETRANSLATE(X420, ""RO"", ""EN""), """")"),"7")</f>
        <v>7</v>
      </c>
      <c r="L420" s="5" t="str">
        <f>IFERROR(__xludf.DUMMYFUNCTION("IF(S420&lt;&gt;"""", GOOGLETRANSLATE(S420, ""RO"", ""EN""), """")"),"8")</f>
        <v>8</v>
      </c>
      <c r="M420" s="5" t="str">
        <f>IFERROR(__xludf.DUMMYFUNCTION("IF(T420&lt;&gt;"""", GOOGLETRANSLATE(T420, ""RO"", ""EN""), """")"),"9")</f>
        <v>9</v>
      </c>
      <c r="N420" s="5" t="str">
        <f>IFERROR(__xludf.DUMMYFUNCTION("IF(Y420&lt;&gt;"""", GOOGLETRANSLATE(Y420, ""RO"", ""EN""), """")"),"Very pleased")</f>
        <v>Very pleased</v>
      </c>
      <c r="O420" s="4" t="s">
        <v>167</v>
      </c>
      <c r="P420" s="4" t="s">
        <v>168</v>
      </c>
      <c r="Q420" s="4" t="s">
        <v>169</v>
      </c>
      <c r="R420" s="4" t="s">
        <v>170</v>
      </c>
      <c r="S420" s="4" t="s">
        <v>171</v>
      </c>
      <c r="T420" s="4" t="s">
        <v>172</v>
      </c>
      <c r="U420" s="4" t="s">
        <v>173</v>
      </c>
      <c r="V420" s="4" t="s">
        <v>174</v>
      </c>
      <c r="W420" s="4" t="s">
        <v>175</v>
      </c>
      <c r="X420" s="4" t="s">
        <v>176</v>
      </c>
      <c r="Y420" s="4" t="s">
        <v>110</v>
      </c>
      <c r="Z420" s="4" t="s">
        <v>177</v>
      </c>
      <c r="AA420" s="4" t="s">
        <v>103</v>
      </c>
      <c r="AB420" s="4" t="s">
        <v>104</v>
      </c>
    </row>
    <row r="421" ht="15.75" customHeight="1">
      <c r="A421" s="4" t="s">
        <v>1308</v>
      </c>
      <c r="B421" s="4" t="s">
        <v>193</v>
      </c>
      <c r="C421" s="4" t="str">
        <f>IFERROR(__xludf.DUMMYFUNCTION("GOOGLETRANSLATE(B421, ""RO"", ""EN"")"),"The political life in the country")</f>
        <v>The political life in the country</v>
      </c>
      <c r="D421" s="5" t="str">
        <f>IFERROR(__xludf.DUMMYFUNCTION("IF(O421&lt;&gt;"""", GOOGLETRANSLATE(O421, ""RO"", ""EN""), """")"),"Very dissatisfied")</f>
        <v>Very dissatisfied</v>
      </c>
      <c r="E421" s="6" t="str">
        <f>IFERROR(__xludf.DUMMYFUNCTION("IF(P421&lt;&gt;"""", GOOGLETRANSLATE(P421, ""RO"", ""EN""), """")"),"1")</f>
        <v>1</v>
      </c>
      <c r="F421" s="5" t="str">
        <f>IFERROR(__xludf.DUMMYFUNCTION("IF(Q421&lt;&gt;"""", GOOGLETRANSLATE(Q421, ""RO"", ""EN""), """")"),"2")</f>
        <v>2</v>
      </c>
      <c r="G421" s="5" t="str">
        <f>IFERROR(__xludf.DUMMYFUNCTION("IF(R421&lt;&gt;"""", GOOGLETRANSLATE(R421, ""RO"", ""EN""), """")"),"3")</f>
        <v>3</v>
      </c>
      <c r="H421" s="5" t="str">
        <f>IFERROR(__xludf.DUMMYFUNCTION("IF(U421&lt;&gt;"""", GOOGLETRANSLATE(U421, ""RO"", ""EN""), """")"),"4")</f>
        <v>4</v>
      </c>
      <c r="I421" s="5" t="str">
        <f>IFERROR(__xludf.DUMMYFUNCTION("IF(V421&lt;&gt;"""", GOOGLETRANSLATE(V421, ""RO"", ""EN""), """")"),"5")</f>
        <v>5</v>
      </c>
      <c r="J421" s="5" t="str">
        <f>IFERROR(__xludf.DUMMYFUNCTION("IF(W421&lt;&gt;"""", GOOGLETRANSLATE(W421, ""RO"", ""EN""), """")"),"6")</f>
        <v>6</v>
      </c>
      <c r="K421" s="5" t="str">
        <f>IFERROR(__xludf.DUMMYFUNCTION("IF(X421&lt;&gt;"""", GOOGLETRANSLATE(X421, ""RO"", ""EN""), """")"),"7")</f>
        <v>7</v>
      </c>
      <c r="L421" s="5" t="str">
        <f>IFERROR(__xludf.DUMMYFUNCTION("IF(S421&lt;&gt;"""", GOOGLETRANSLATE(S421, ""RO"", ""EN""), """")"),"8")</f>
        <v>8</v>
      </c>
      <c r="M421" s="5" t="str">
        <f>IFERROR(__xludf.DUMMYFUNCTION("IF(T421&lt;&gt;"""", GOOGLETRANSLATE(T421, ""RO"", ""EN""), """")"),"9")</f>
        <v>9</v>
      </c>
      <c r="N421" s="5" t="str">
        <f>IFERROR(__xludf.DUMMYFUNCTION("IF(Y421&lt;&gt;"""", GOOGLETRANSLATE(Y421, ""RO"", ""EN""), """")"),"Very pleased")</f>
        <v>Very pleased</v>
      </c>
      <c r="O421" s="4" t="s">
        <v>167</v>
      </c>
      <c r="P421" s="4" t="s">
        <v>168</v>
      </c>
      <c r="Q421" s="4" t="s">
        <v>169</v>
      </c>
      <c r="R421" s="4" t="s">
        <v>170</v>
      </c>
      <c r="S421" s="4" t="s">
        <v>171</v>
      </c>
      <c r="T421" s="4" t="s">
        <v>172</v>
      </c>
      <c r="U421" s="4" t="s">
        <v>173</v>
      </c>
      <c r="V421" s="4" t="s">
        <v>174</v>
      </c>
      <c r="W421" s="4" t="s">
        <v>175</v>
      </c>
      <c r="X421" s="4" t="s">
        <v>176</v>
      </c>
      <c r="Y421" s="4" t="s">
        <v>110</v>
      </c>
      <c r="Z421" s="4" t="s">
        <v>177</v>
      </c>
      <c r="AA421" s="4" t="s">
        <v>103</v>
      </c>
      <c r="AB421" s="4" t="s">
        <v>104</v>
      </c>
    </row>
    <row r="422" ht="15.75" customHeight="1">
      <c r="A422" s="4" t="s">
        <v>1309</v>
      </c>
      <c r="B422" s="4" t="s">
        <v>1310</v>
      </c>
      <c r="C422" s="4" t="str">
        <f>IFERROR(__xludf.DUMMYFUNCTION("GOOGLETRANSLATE(B422, ""RO"", ""EN"")"),"I will read you three statements. Please tell me how many of these are true in your case. I am not interested in telling me which statements are true and which is not, but only of them are true in your case.")</f>
        <v>I will read you three statements. Please tell me how many of these are true in your case. I am not interested in telling me which statements are true and which is not, but only of them are true in your case.</v>
      </c>
      <c r="D422" s="5" t="str">
        <f>IFERROR(__xludf.DUMMYFUNCTION("IF(O422&lt;&gt;"""", GOOGLETRANSLATE(O422, ""RO"", ""EN""), """")"),"")</f>
        <v/>
      </c>
      <c r="E422" s="6" t="str">
        <f>IFERROR(__xludf.DUMMYFUNCTION("IF(P422&lt;&gt;"""", GOOGLETRANSLATE(P422, ""RO"", ""EN""), """")"),"")</f>
        <v/>
      </c>
      <c r="F422" s="5" t="str">
        <f>IFERROR(__xludf.DUMMYFUNCTION("IF(Q422&lt;&gt;"""", GOOGLETRANSLATE(Q422, ""RO"", ""EN""), """")"),"")</f>
        <v/>
      </c>
      <c r="G422" s="5" t="str">
        <f>IFERROR(__xludf.DUMMYFUNCTION("IF(R422&lt;&gt;"""", GOOGLETRANSLATE(R422, ""RO"", ""EN""), """")"),"")</f>
        <v/>
      </c>
      <c r="H422" s="5" t="str">
        <f>IFERROR(__xludf.DUMMYFUNCTION("IF(U422&lt;&gt;"""", GOOGLETRANSLATE(U422, ""RO"", ""EN""), """")"),"")</f>
        <v/>
      </c>
      <c r="I422" s="5" t="str">
        <f>IFERROR(__xludf.DUMMYFUNCTION("IF(V422&lt;&gt;"""", GOOGLETRANSLATE(V422, ""RO"", ""EN""), """")"),"")</f>
        <v/>
      </c>
      <c r="J422" s="5" t="str">
        <f>IFERROR(__xludf.DUMMYFUNCTION("IF(W422&lt;&gt;"""", GOOGLETRANSLATE(W422, ""RO"", ""EN""), """")"),"")</f>
        <v/>
      </c>
      <c r="K422" s="5" t="str">
        <f>IFERROR(__xludf.DUMMYFUNCTION("IF(X422&lt;&gt;"""", GOOGLETRANSLATE(X422, ""RO"", ""EN""), """")"),"")</f>
        <v/>
      </c>
      <c r="L422" s="5" t="str">
        <f>IFERROR(__xludf.DUMMYFUNCTION("IF(S422&lt;&gt;"""", GOOGLETRANSLATE(S422, ""RO"", ""EN""), """")"),"Ns")</f>
        <v>Ns</v>
      </c>
      <c r="M422" s="5" t="str">
        <f>IFERROR(__xludf.DUMMYFUNCTION("IF(T422&lt;&gt;"""", GOOGLETRANSLATE(T422, ""RO"", ""EN""), """")"),"No.")</f>
        <v>No.</v>
      </c>
      <c r="N422" s="5" t="str">
        <f>IFERROR(__xludf.DUMMYFUNCTION("IF(Y422&lt;&gt;"""", GOOGLETRANSLATE(Y422, ""RO"", ""EN""), """")"),"")</f>
        <v/>
      </c>
      <c r="S422" s="4" t="s">
        <v>103</v>
      </c>
      <c r="T422" s="4" t="s">
        <v>104</v>
      </c>
    </row>
    <row r="423" ht="15.75" customHeight="1">
      <c r="A423" s="4" t="s">
        <v>1311</v>
      </c>
      <c r="B423" s="4" t="s">
        <v>1312</v>
      </c>
      <c r="C423" s="4" t="str">
        <f>IFERROR(__xludf.DUMMYFUNCTION("GOOGLETRANSLATE(B423, ""RO"", ""EN"")"),"I'll read you four statements. Please tell me how many of these are true in your case. I am not interested in telling me which statements are true and which is not, but only of them are true in your case.")</f>
        <v>I'll read you four statements. Please tell me how many of these are true in your case. I am not interested in telling me which statements are true and which is not, but only of them are true in your case.</v>
      </c>
      <c r="D423" s="5" t="str">
        <f>IFERROR(__xludf.DUMMYFUNCTION("IF(O423&lt;&gt;"""", GOOGLETRANSLATE(O423, ""RO"", ""EN""), """")"),"")</f>
        <v/>
      </c>
      <c r="E423" s="6" t="str">
        <f>IFERROR(__xludf.DUMMYFUNCTION("IF(P423&lt;&gt;"""", GOOGLETRANSLATE(P423, ""RO"", ""EN""), """")"),"")</f>
        <v/>
      </c>
      <c r="F423" s="5" t="str">
        <f>IFERROR(__xludf.DUMMYFUNCTION("IF(Q423&lt;&gt;"""", GOOGLETRANSLATE(Q423, ""RO"", ""EN""), """")"),"")</f>
        <v/>
      </c>
      <c r="G423" s="5" t="str">
        <f>IFERROR(__xludf.DUMMYFUNCTION("IF(R423&lt;&gt;"""", GOOGLETRANSLATE(R423, ""RO"", ""EN""), """")"),"")</f>
        <v/>
      </c>
      <c r="H423" s="5" t="str">
        <f>IFERROR(__xludf.DUMMYFUNCTION("IF(U423&lt;&gt;"""", GOOGLETRANSLATE(U423, ""RO"", ""EN""), """")"),"")</f>
        <v/>
      </c>
      <c r="I423" s="5" t="str">
        <f>IFERROR(__xludf.DUMMYFUNCTION("IF(V423&lt;&gt;"""", GOOGLETRANSLATE(V423, ""RO"", ""EN""), """")"),"")</f>
        <v/>
      </c>
      <c r="J423" s="5" t="str">
        <f>IFERROR(__xludf.DUMMYFUNCTION("IF(W423&lt;&gt;"""", GOOGLETRANSLATE(W423, ""RO"", ""EN""), """")"),"")</f>
        <v/>
      </c>
      <c r="K423" s="5" t="str">
        <f>IFERROR(__xludf.DUMMYFUNCTION("IF(X423&lt;&gt;"""", GOOGLETRANSLATE(X423, ""RO"", ""EN""), """")"),"")</f>
        <v/>
      </c>
      <c r="L423" s="5" t="str">
        <f>IFERROR(__xludf.DUMMYFUNCTION("IF(S423&lt;&gt;"""", GOOGLETRANSLATE(S423, ""RO"", ""EN""), """")"),"Ns")</f>
        <v>Ns</v>
      </c>
      <c r="M423" s="5" t="str">
        <f>IFERROR(__xludf.DUMMYFUNCTION("IF(T423&lt;&gt;"""", GOOGLETRANSLATE(T423, ""RO"", ""EN""), """")"),"No.")</f>
        <v>No.</v>
      </c>
      <c r="N423" s="5" t="str">
        <f>IFERROR(__xludf.DUMMYFUNCTION("IF(Y423&lt;&gt;"""", GOOGLETRANSLATE(Y423, ""RO"", ""EN""), """")"),"")</f>
        <v/>
      </c>
      <c r="S423" s="4" t="s">
        <v>103</v>
      </c>
      <c r="T423" s="4" t="s">
        <v>104</v>
      </c>
    </row>
    <row r="424" ht="15.75" customHeight="1">
      <c r="A424" s="4" t="s">
        <v>1313</v>
      </c>
      <c r="B424" s="4" t="s">
        <v>1312</v>
      </c>
      <c r="C424" s="4" t="str">
        <f>IFERROR(__xludf.DUMMYFUNCTION("GOOGLETRANSLATE(B424, ""RO"", ""EN"")"),"I'll read you four statements. Please tell me how many of these are true in your case. I am not interested in telling me which statements are true and which is not, but only of them are true in your case.")</f>
        <v>I'll read you four statements. Please tell me how many of these are true in your case. I am not interested in telling me which statements are true and which is not, but only of them are true in your case.</v>
      </c>
      <c r="D424" s="5" t="str">
        <f>IFERROR(__xludf.DUMMYFUNCTION("IF(O424&lt;&gt;"""", GOOGLETRANSLATE(O424, ""RO"", ""EN""), """")"),"")</f>
        <v/>
      </c>
      <c r="E424" s="6" t="str">
        <f>IFERROR(__xludf.DUMMYFUNCTION("IF(P424&lt;&gt;"""", GOOGLETRANSLATE(P424, ""RO"", ""EN""), """")"),"")</f>
        <v/>
      </c>
      <c r="F424" s="5" t="str">
        <f>IFERROR(__xludf.DUMMYFUNCTION("IF(Q424&lt;&gt;"""", GOOGLETRANSLATE(Q424, ""RO"", ""EN""), """")"),"")</f>
        <v/>
      </c>
      <c r="G424" s="5" t="str">
        <f>IFERROR(__xludf.DUMMYFUNCTION("IF(R424&lt;&gt;"""", GOOGLETRANSLATE(R424, ""RO"", ""EN""), """")"),"")</f>
        <v/>
      </c>
      <c r="H424" s="5" t="str">
        <f>IFERROR(__xludf.DUMMYFUNCTION("IF(U424&lt;&gt;"""", GOOGLETRANSLATE(U424, ""RO"", ""EN""), """")"),"")</f>
        <v/>
      </c>
      <c r="I424" s="5" t="str">
        <f>IFERROR(__xludf.DUMMYFUNCTION("IF(V424&lt;&gt;"""", GOOGLETRANSLATE(V424, ""RO"", ""EN""), """")"),"")</f>
        <v/>
      </c>
      <c r="J424" s="5" t="str">
        <f>IFERROR(__xludf.DUMMYFUNCTION("IF(W424&lt;&gt;"""", GOOGLETRANSLATE(W424, ""RO"", ""EN""), """")"),"")</f>
        <v/>
      </c>
      <c r="K424" s="5" t="str">
        <f>IFERROR(__xludf.DUMMYFUNCTION("IF(X424&lt;&gt;"""", GOOGLETRANSLATE(X424, ""RO"", ""EN""), """")"),"")</f>
        <v/>
      </c>
      <c r="L424" s="5" t="str">
        <f>IFERROR(__xludf.DUMMYFUNCTION("IF(S424&lt;&gt;"""", GOOGLETRANSLATE(S424, ""RO"", ""EN""), """")"),"Ns")</f>
        <v>Ns</v>
      </c>
      <c r="M424" s="5" t="str">
        <f>IFERROR(__xludf.DUMMYFUNCTION("IF(T424&lt;&gt;"""", GOOGLETRANSLATE(T424, ""RO"", ""EN""), """")"),"No.")</f>
        <v>No.</v>
      </c>
      <c r="N424" s="5" t="str">
        <f>IFERROR(__xludf.DUMMYFUNCTION("IF(Y424&lt;&gt;"""", GOOGLETRANSLATE(Y424, ""RO"", ""EN""), """")"),"")</f>
        <v/>
      </c>
      <c r="S424" s="4" t="s">
        <v>103</v>
      </c>
      <c r="T424" s="4" t="s">
        <v>104</v>
      </c>
    </row>
    <row r="425" ht="15.75" customHeight="1">
      <c r="A425" s="4" t="s">
        <v>1314</v>
      </c>
      <c r="B425" s="4" t="s">
        <v>1315</v>
      </c>
      <c r="C425" s="4" t="str">
        <f>IFERROR(__xludf.DUMMYFUNCTION("GOOGLETRANSLATE(B425, ""RO"", ""EN"")"),"What was the most important topic of presidential elections for your personal?")</f>
        <v>What was the most important topic of presidential elections for your personal?</v>
      </c>
      <c r="D425" s="5" t="str">
        <f>IFERROR(__xludf.DUMMYFUNCTION("IF(O425&lt;&gt;"""", GOOGLETRANSLATE(O425, ""RO"", ""EN""), """")"),"")</f>
        <v/>
      </c>
      <c r="E425" s="6" t="str">
        <f>IFERROR(__xludf.DUMMYFUNCTION("IF(P425&lt;&gt;"""", GOOGLETRANSLATE(P425, ""RO"", ""EN""), """")"),"")</f>
        <v/>
      </c>
      <c r="F425" s="5" t="str">
        <f>IFERROR(__xludf.DUMMYFUNCTION("IF(Q425&lt;&gt;"""", GOOGLETRANSLATE(Q425, ""RO"", ""EN""), """")"),"")</f>
        <v/>
      </c>
      <c r="G425" s="5" t="str">
        <f>IFERROR(__xludf.DUMMYFUNCTION("IF(R425&lt;&gt;"""", GOOGLETRANSLATE(R425, ""RO"", ""EN""), """")"),"")</f>
        <v/>
      </c>
      <c r="H425" s="5" t="str">
        <f>IFERROR(__xludf.DUMMYFUNCTION("IF(U425&lt;&gt;"""", GOOGLETRANSLATE(U425, ""RO"", ""EN""), """")"),"")</f>
        <v/>
      </c>
      <c r="I425" s="5" t="str">
        <f>IFERROR(__xludf.DUMMYFUNCTION("IF(V425&lt;&gt;"""", GOOGLETRANSLATE(V425, ""RO"", ""EN""), """")"),"")</f>
        <v/>
      </c>
      <c r="J425" s="5" t="str">
        <f>IFERROR(__xludf.DUMMYFUNCTION("IF(W425&lt;&gt;"""", GOOGLETRANSLATE(W425, ""RO"", ""EN""), """")"),"")</f>
        <v/>
      </c>
      <c r="K425" s="5" t="str">
        <f>IFERROR(__xludf.DUMMYFUNCTION("IF(X425&lt;&gt;"""", GOOGLETRANSLATE(X425, ""RO"", ""EN""), """")"),"")</f>
        <v/>
      </c>
      <c r="L425" s="5" t="str">
        <f>IFERROR(__xludf.DUMMYFUNCTION("IF(S425&lt;&gt;"""", GOOGLETRANSLATE(S425, ""RO"", ""EN""), """")"),"")</f>
        <v/>
      </c>
      <c r="M425" s="5" t="str">
        <f>IFERROR(__xludf.DUMMYFUNCTION("IF(T425&lt;&gt;"""", GOOGLETRANSLATE(T425, ""RO"", ""EN""), """")"),"")</f>
        <v/>
      </c>
      <c r="N425" s="5" t="str">
        <f>IFERROR(__xludf.DUMMYFUNCTION("IF(Y425&lt;&gt;"""", GOOGLETRANSLATE(Y425, ""RO"", ""EN""), """")"),"")</f>
        <v/>
      </c>
    </row>
    <row r="426" ht="15.75" customHeight="1">
      <c r="A426" s="4" t="s">
        <v>1316</v>
      </c>
      <c r="B426" s="4" t="s">
        <v>1317</v>
      </c>
      <c r="C426" s="4" t="str">
        <f>IFERROR(__xludf.DUMMYFUNCTION("GOOGLETRANSLATE(B426, ""RO"", ""EN"")"),"But the second one in importance?")</f>
        <v>But the second one in importance?</v>
      </c>
      <c r="D426" s="5" t="str">
        <f>IFERROR(__xludf.DUMMYFUNCTION("IF(O426&lt;&gt;"""", GOOGLETRANSLATE(O426, ""RO"", ""EN""), """")"),"")</f>
        <v/>
      </c>
      <c r="E426" s="6" t="str">
        <f>IFERROR(__xludf.DUMMYFUNCTION("IF(P426&lt;&gt;"""", GOOGLETRANSLATE(P426, ""RO"", ""EN""), """")"),"")</f>
        <v/>
      </c>
      <c r="F426" s="5" t="str">
        <f>IFERROR(__xludf.DUMMYFUNCTION("IF(Q426&lt;&gt;"""", GOOGLETRANSLATE(Q426, ""RO"", ""EN""), """")"),"")</f>
        <v/>
      </c>
      <c r="G426" s="5" t="str">
        <f>IFERROR(__xludf.DUMMYFUNCTION("IF(R426&lt;&gt;"""", GOOGLETRANSLATE(R426, ""RO"", ""EN""), """")"),"")</f>
        <v/>
      </c>
      <c r="H426" s="5" t="str">
        <f>IFERROR(__xludf.DUMMYFUNCTION("IF(U426&lt;&gt;"""", GOOGLETRANSLATE(U426, ""RO"", ""EN""), """")"),"")</f>
        <v/>
      </c>
      <c r="I426" s="5" t="str">
        <f>IFERROR(__xludf.DUMMYFUNCTION("IF(V426&lt;&gt;"""", GOOGLETRANSLATE(V426, ""RO"", ""EN""), """")"),"")</f>
        <v/>
      </c>
      <c r="J426" s="5" t="str">
        <f>IFERROR(__xludf.DUMMYFUNCTION("IF(W426&lt;&gt;"""", GOOGLETRANSLATE(W426, ""RO"", ""EN""), """")"),"")</f>
        <v/>
      </c>
      <c r="K426" s="5" t="str">
        <f>IFERROR(__xludf.DUMMYFUNCTION("IF(X426&lt;&gt;"""", GOOGLETRANSLATE(X426, ""RO"", ""EN""), """")"),"")</f>
        <v/>
      </c>
      <c r="L426" s="5" t="str">
        <f>IFERROR(__xludf.DUMMYFUNCTION("IF(S426&lt;&gt;"""", GOOGLETRANSLATE(S426, ""RO"", ""EN""), """")"),"")</f>
        <v/>
      </c>
      <c r="M426" s="5" t="str">
        <f>IFERROR(__xludf.DUMMYFUNCTION("IF(T426&lt;&gt;"""", GOOGLETRANSLATE(T426, ""RO"", ""EN""), """")"),"")</f>
        <v/>
      </c>
      <c r="N426" s="5" t="str">
        <f>IFERROR(__xludf.DUMMYFUNCTION("IF(Y426&lt;&gt;"""", GOOGLETRANSLATE(Y426, ""RO"", ""EN""), """")"),"")</f>
        <v/>
      </c>
    </row>
    <row r="427" ht="15.75" customHeight="1">
      <c r="A427" s="4" t="s">
        <v>1318</v>
      </c>
      <c r="B427" s="4" t="s">
        <v>1319</v>
      </c>
      <c r="C427" s="4" t="str">
        <f>IFERROR(__xludf.DUMMYFUNCTION("GOOGLETRANSLATE(B427, ""RO"", ""EN"")"),"What do you think is the most important political problem that Romania is facing today?")</f>
        <v>What do you think is the most important political problem that Romania is facing today?</v>
      </c>
      <c r="D427" s="5" t="str">
        <f>IFERROR(__xludf.DUMMYFUNCTION("IF(O427&lt;&gt;"""", GOOGLETRANSLATE(O427, ""RO"", ""EN""), """")"),"")</f>
        <v/>
      </c>
      <c r="E427" s="6" t="str">
        <f>IFERROR(__xludf.DUMMYFUNCTION("IF(P427&lt;&gt;"""", GOOGLETRANSLATE(P427, ""RO"", ""EN""), """")"),"")</f>
        <v/>
      </c>
      <c r="F427" s="5" t="str">
        <f>IFERROR(__xludf.DUMMYFUNCTION("IF(Q427&lt;&gt;"""", GOOGLETRANSLATE(Q427, ""RO"", ""EN""), """")"),"")</f>
        <v/>
      </c>
      <c r="G427" s="5" t="str">
        <f>IFERROR(__xludf.DUMMYFUNCTION("IF(R427&lt;&gt;"""", GOOGLETRANSLATE(R427, ""RO"", ""EN""), """")"),"")</f>
        <v/>
      </c>
      <c r="H427" s="5" t="str">
        <f>IFERROR(__xludf.DUMMYFUNCTION("IF(U427&lt;&gt;"""", GOOGLETRANSLATE(U427, ""RO"", ""EN""), """")"),"")</f>
        <v/>
      </c>
      <c r="I427" s="5" t="str">
        <f>IFERROR(__xludf.DUMMYFUNCTION("IF(V427&lt;&gt;"""", GOOGLETRANSLATE(V427, ""RO"", ""EN""), """")"),"")</f>
        <v/>
      </c>
      <c r="J427" s="5" t="str">
        <f>IFERROR(__xludf.DUMMYFUNCTION("IF(W427&lt;&gt;"""", GOOGLETRANSLATE(W427, ""RO"", ""EN""), """")"),"")</f>
        <v/>
      </c>
      <c r="K427" s="5" t="str">
        <f>IFERROR(__xludf.DUMMYFUNCTION("IF(X427&lt;&gt;"""", GOOGLETRANSLATE(X427, ""RO"", ""EN""), """")"),"")</f>
        <v/>
      </c>
      <c r="L427" s="5" t="str">
        <f>IFERROR(__xludf.DUMMYFUNCTION("IF(S427&lt;&gt;"""", GOOGLETRANSLATE(S427, ""RO"", ""EN""), """")"),"")</f>
        <v/>
      </c>
      <c r="M427" s="5" t="str">
        <f>IFERROR(__xludf.DUMMYFUNCTION("IF(T427&lt;&gt;"""", GOOGLETRANSLATE(T427, ""RO"", ""EN""), """")"),"")</f>
        <v/>
      </c>
      <c r="N427" s="5" t="str">
        <f>IFERROR(__xludf.DUMMYFUNCTION("IF(Y427&lt;&gt;"""", GOOGLETRANSLATE(Y427, ""RO"", ""EN""), """")"),"")</f>
        <v/>
      </c>
    </row>
    <row r="428" ht="15.75" customHeight="1">
      <c r="A428" s="4" t="s">
        <v>1320</v>
      </c>
      <c r="B428" s="4" t="s">
        <v>1321</v>
      </c>
      <c r="C428" s="4" t="str">
        <f>IFERROR(__xludf.DUMMYFUNCTION("GOOGLETRANSLATE(B428, ""RO"", ""EN"")"),"But the second in order of importance?")</f>
        <v>But the second in order of importance?</v>
      </c>
      <c r="D428" s="5" t="str">
        <f>IFERROR(__xludf.DUMMYFUNCTION("IF(O428&lt;&gt;"""", GOOGLETRANSLATE(O428, ""RO"", ""EN""), """")"),"")</f>
        <v/>
      </c>
      <c r="E428" s="6" t="str">
        <f>IFERROR(__xludf.DUMMYFUNCTION("IF(P428&lt;&gt;"""", GOOGLETRANSLATE(P428, ""RO"", ""EN""), """")"),"")</f>
        <v/>
      </c>
      <c r="F428" s="5" t="str">
        <f>IFERROR(__xludf.DUMMYFUNCTION("IF(Q428&lt;&gt;"""", GOOGLETRANSLATE(Q428, ""RO"", ""EN""), """")"),"")</f>
        <v/>
      </c>
      <c r="G428" s="5" t="str">
        <f>IFERROR(__xludf.DUMMYFUNCTION("IF(R428&lt;&gt;"""", GOOGLETRANSLATE(R428, ""RO"", ""EN""), """")"),"")</f>
        <v/>
      </c>
      <c r="H428" s="5" t="str">
        <f>IFERROR(__xludf.DUMMYFUNCTION("IF(U428&lt;&gt;"""", GOOGLETRANSLATE(U428, ""RO"", ""EN""), """")"),"")</f>
        <v/>
      </c>
      <c r="I428" s="5" t="str">
        <f>IFERROR(__xludf.DUMMYFUNCTION("IF(V428&lt;&gt;"""", GOOGLETRANSLATE(V428, ""RO"", ""EN""), """")"),"")</f>
        <v/>
      </c>
      <c r="J428" s="5" t="str">
        <f>IFERROR(__xludf.DUMMYFUNCTION("IF(W428&lt;&gt;"""", GOOGLETRANSLATE(W428, ""RO"", ""EN""), """")"),"")</f>
        <v/>
      </c>
      <c r="K428" s="5" t="str">
        <f>IFERROR(__xludf.DUMMYFUNCTION("IF(X428&lt;&gt;"""", GOOGLETRANSLATE(X428, ""RO"", ""EN""), """")"),"")</f>
        <v/>
      </c>
      <c r="L428" s="5" t="str">
        <f>IFERROR(__xludf.DUMMYFUNCTION("IF(S428&lt;&gt;"""", GOOGLETRANSLATE(S428, ""RO"", ""EN""), """")"),"")</f>
        <v/>
      </c>
      <c r="M428" s="5" t="str">
        <f>IFERROR(__xludf.DUMMYFUNCTION("IF(T428&lt;&gt;"""", GOOGLETRANSLATE(T428, ""RO"", ""EN""), """")"),"")</f>
        <v/>
      </c>
      <c r="N428" s="5" t="str">
        <f>IFERROR(__xludf.DUMMYFUNCTION("IF(Y428&lt;&gt;"""", GOOGLETRANSLATE(Y428, ""RO"", ""EN""), """")"),"")</f>
        <v/>
      </c>
    </row>
    <row r="429" ht="15.75" customHeight="1">
      <c r="A429" s="4" t="s">
        <v>1322</v>
      </c>
      <c r="B429" s="4" t="s">
        <v>1323</v>
      </c>
      <c r="C429" s="4" t="str">
        <f>IFERROR(__xludf.DUMMYFUNCTION("GOOGLETRANSLATE(B429, ""RO"", ""EN"")"),"Thinking about the most important political problem that Romania faces, which of the candidates in the 1st of the presidential elections do you think it is best to solve it?")</f>
        <v>Thinking about the most important political problem that Romania faces, which of the candidates in the 1st of the presidential elections do you think it is best to solve it?</v>
      </c>
      <c r="D429" s="5" t="str">
        <f>IFERROR(__xludf.DUMMYFUNCTION("IF(O429&lt;&gt;"""", GOOGLETRANSLATE(O429, ""RO"", ""EN""), """")"),"")</f>
        <v/>
      </c>
      <c r="E429" s="6" t="str">
        <f>IFERROR(__xludf.DUMMYFUNCTION("IF(P429&lt;&gt;"""", GOOGLETRANSLATE(P429, ""RO"", ""EN""), """")"),"Mircea Geoana")</f>
        <v>Mircea Geoana</v>
      </c>
      <c r="F429" s="5" t="str">
        <f>IFERROR(__xludf.DUMMYFUNCTION("IF(Q429&lt;&gt;"""", GOOGLETRANSLATE(Q429, ""RO"", ""EN""), """")"),"Crin Antonescu")</f>
        <v>Crin Antonescu</v>
      </c>
      <c r="G429" s="5" t="str">
        <f>IFERROR(__xludf.DUMMYFUNCTION("IF(R429&lt;&gt;"""", GOOGLETRANSLATE(R429, ""RO"", ""EN""), """")"),"Traian Basescu")</f>
        <v>Traian Basescu</v>
      </c>
      <c r="H429" s="5" t="str">
        <f>IFERROR(__xludf.DUMMYFUNCTION("IF(U429&lt;&gt;"""", GOOGLETRANSLATE(U429, ""RO"", ""EN""), """")"),"Sorin Oprescu")</f>
        <v>Sorin Oprescu</v>
      </c>
      <c r="I429" s="5" t="str">
        <f>IFERROR(__xludf.DUMMYFUNCTION("IF(V429&lt;&gt;"""", GOOGLETRANSLATE(V429, ""RO"", ""EN""), """")"),"Corneliu Vadim Tudor")</f>
        <v>Corneliu Vadim Tudor</v>
      </c>
      <c r="J429" s="5" t="str">
        <f>IFERROR(__xludf.DUMMYFUNCTION("IF(W429&lt;&gt;"""", GOOGLETRANSLATE(W429, ""RO"", ""EN""), """")"),"Kelemen Hunor")</f>
        <v>Kelemen Hunor</v>
      </c>
      <c r="K429" s="5" t="str">
        <f>IFERROR(__xludf.DUMMYFUNCTION("IF(X429&lt;&gt;"""", GOOGLETRANSLATE(X429, ""RO"", ""EN""), """")"),"George Becali")</f>
        <v>George Becali</v>
      </c>
      <c r="L429" s="5" t="str">
        <f>IFERROR(__xludf.DUMMYFUNCTION("IF(S429&lt;&gt;"""", GOOGLETRANSLATE(S429, ""RO"", ""EN""), """")"),"Another candidate")</f>
        <v>Another candidate</v>
      </c>
      <c r="M429" s="5" t="str">
        <f>IFERROR(__xludf.DUMMYFUNCTION("IF(T429&lt;&gt;"""", GOOGLETRANSLATE(T429, ""RO"", ""EN""), """")"),"")</f>
        <v/>
      </c>
      <c r="N429" s="5" t="str">
        <f>IFERROR(__xludf.DUMMYFUNCTION("IF(Y429&lt;&gt;"""", GOOGLETRANSLATE(Y429, ""RO"", ""EN""), """")"),"")</f>
        <v/>
      </c>
      <c r="P429" s="4" t="s">
        <v>219</v>
      </c>
      <c r="Q429" s="4" t="s">
        <v>220</v>
      </c>
      <c r="R429" s="4" t="s">
        <v>221</v>
      </c>
      <c r="S429" s="4" t="s">
        <v>485</v>
      </c>
      <c r="U429" s="4" t="s">
        <v>223</v>
      </c>
      <c r="V429" s="4" t="s">
        <v>224</v>
      </c>
      <c r="W429" s="4" t="s">
        <v>225</v>
      </c>
      <c r="X429" s="4" t="s">
        <v>226</v>
      </c>
      <c r="AA429" s="4" t="s">
        <v>103</v>
      </c>
      <c r="AB429" s="4" t="s">
        <v>104</v>
      </c>
      <c r="AD429" s="4" t="s">
        <v>1324</v>
      </c>
    </row>
    <row r="430" ht="15.75" customHeight="1">
      <c r="A430" s="4" t="s">
        <v>1325</v>
      </c>
      <c r="B430" s="4" t="s">
        <v>1326</v>
      </c>
      <c r="C430" s="4" t="str">
        <f>IFERROR(__xludf.DUMMYFUNCTION("GOOGLETRANSLATE(B430, ""RO"", ""EN"")"),"But the second problem?")</f>
        <v>But the second problem?</v>
      </c>
      <c r="D430" s="5" t="str">
        <f>IFERROR(__xludf.DUMMYFUNCTION("IF(O430&lt;&gt;"""", GOOGLETRANSLATE(O430, ""RO"", ""EN""), """")"),"")</f>
        <v/>
      </c>
      <c r="E430" s="6" t="str">
        <f>IFERROR(__xludf.DUMMYFUNCTION("IF(P430&lt;&gt;"""", GOOGLETRANSLATE(P430, ""RO"", ""EN""), """")"),"Mircea Geoana")</f>
        <v>Mircea Geoana</v>
      </c>
      <c r="F430" s="5" t="str">
        <f>IFERROR(__xludf.DUMMYFUNCTION("IF(Q430&lt;&gt;"""", GOOGLETRANSLATE(Q430, ""RO"", ""EN""), """")"),"Crin Antonescu")</f>
        <v>Crin Antonescu</v>
      </c>
      <c r="G430" s="5" t="str">
        <f>IFERROR(__xludf.DUMMYFUNCTION("IF(R430&lt;&gt;"""", GOOGLETRANSLATE(R430, ""RO"", ""EN""), """")"),"Traian Basescu")</f>
        <v>Traian Basescu</v>
      </c>
      <c r="H430" s="5" t="str">
        <f>IFERROR(__xludf.DUMMYFUNCTION("IF(U430&lt;&gt;"""", GOOGLETRANSLATE(U430, ""RO"", ""EN""), """")"),"Sorin Oprescu")</f>
        <v>Sorin Oprescu</v>
      </c>
      <c r="I430" s="5" t="str">
        <f>IFERROR(__xludf.DUMMYFUNCTION("IF(V430&lt;&gt;"""", GOOGLETRANSLATE(V430, ""RO"", ""EN""), """")"),"Corneliu Vadim Tudor")</f>
        <v>Corneliu Vadim Tudor</v>
      </c>
      <c r="J430" s="5" t="str">
        <f>IFERROR(__xludf.DUMMYFUNCTION("IF(W430&lt;&gt;"""", GOOGLETRANSLATE(W430, ""RO"", ""EN""), """")"),"Kelemen Hunor")</f>
        <v>Kelemen Hunor</v>
      </c>
      <c r="K430" s="5" t="str">
        <f>IFERROR(__xludf.DUMMYFUNCTION("IF(X430&lt;&gt;"""", GOOGLETRANSLATE(X430, ""RO"", ""EN""), """")"),"George Becali")</f>
        <v>George Becali</v>
      </c>
      <c r="L430" s="5" t="str">
        <f>IFERROR(__xludf.DUMMYFUNCTION("IF(S430&lt;&gt;"""", GOOGLETRANSLATE(S430, ""RO"", ""EN""), """")"),"Another candidate")</f>
        <v>Another candidate</v>
      </c>
      <c r="M430" s="5" t="str">
        <f>IFERROR(__xludf.DUMMYFUNCTION("IF(T430&lt;&gt;"""", GOOGLETRANSLATE(T430, ""RO"", ""EN""), """")"),"")</f>
        <v/>
      </c>
      <c r="N430" s="5" t="str">
        <f>IFERROR(__xludf.DUMMYFUNCTION("IF(Y430&lt;&gt;"""", GOOGLETRANSLATE(Y430, ""RO"", ""EN""), """")"),"")</f>
        <v/>
      </c>
      <c r="P430" s="4" t="s">
        <v>219</v>
      </c>
      <c r="Q430" s="4" t="s">
        <v>220</v>
      </c>
      <c r="R430" s="4" t="s">
        <v>221</v>
      </c>
      <c r="S430" s="4" t="s">
        <v>485</v>
      </c>
      <c r="U430" s="4" t="s">
        <v>223</v>
      </c>
      <c r="V430" s="4" t="s">
        <v>224</v>
      </c>
      <c r="W430" s="4" t="s">
        <v>225</v>
      </c>
      <c r="X430" s="4" t="s">
        <v>226</v>
      </c>
      <c r="AA430" s="4" t="s">
        <v>103</v>
      </c>
      <c r="AB430" s="4" t="s">
        <v>104</v>
      </c>
      <c r="AD430" s="4" t="s">
        <v>1324</v>
      </c>
    </row>
    <row r="431" ht="15.75" customHeight="1">
      <c r="A431" s="4" t="s">
        <v>1327</v>
      </c>
      <c r="B431" s="4" t="s">
        <v>1328</v>
      </c>
      <c r="C431" s="4" t="str">
        <f>IFERROR(__xludf.DUMMYFUNCTION("GOOGLETRANSLATE(B431, ""RO"", ""EN"")"),"Some people say that it doesn't matter who is in power. Others say that it is very important who is in power. Where you would place on a scale from 1 to 5, where 1 means that it has no importance who is in power and 5 i")</f>
        <v>Some people say that it doesn't matter who is in power. Others say that it is very important who is in power. Where you would place on a scale from 1 to 5, where 1 means that it has no importance who is in power and 5 i</v>
      </c>
      <c r="D431" s="5" t="str">
        <f>IFERROR(__xludf.DUMMYFUNCTION("IF(O431&lt;&gt;"""", GOOGLETRANSLATE(O431, ""RO"", ""EN""), """")"),"")</f>
        <v/>
      </c>
      <c r="E431" s="6" t="str">
        <f>IFERROR(__xludf.DUMMYFUNCTION("IF(P431&lt;&gt;"""", GOOGLETRANSLATE(P431, ""RO"", ""EN""), """")"),"It doesn't matter who's in power")</f>
        <v>It doesn't matter who's in power</v>
      </c>
      <c r="F431" s="5" t="str">
        <f>IFERROR(__xludf.DUMMYFUNCTION("IF(Q431&lt;&gt;"""", GOOGLETRANSLATE(Q431, ""RO"", ""EN""), """")"),"2")</f>
        <v>2</v>
      </c>
      <c r="G431" s="5" t="str">
        <f>IFERROR(__xludf.DUMMYFUNCTION("IF(R431&lt;&gt;"""", GOOGLETRANSLATE(R431, ""RO"", ""EN""), """")"),"3")</f>
        <v>3</v>
      </c>
      <c r="H431" s="5" t="str">
        <f>IFERROR(__xludf.DUMMYFUNCTION("IF(U431&lt;&gt;"""", GOOGLETRANSLATE(U431, ""RO"", ""EN""), """")"),"4")</f>
        <v>4</v>
      </c>
      <c r="I431" s="5" t="str">
        <f>IFERROR(__xludf.DUMMYFUNCTION("IF(V431&lt;&gt;"""", GOOGLETRANSLATE(V431, ""RO"", ""EN""), """")"),"It is very important who is in power")</f>
        <v>It is very important who is in power</v>
      </c>
      <c r="J431" s="5" t="str">
        <f>IFERROR(__xludf.DUMMYFUNCTION("IF(W431&lt;&gt;"""", GOOGLETRANSLATE(W431, ""RO"", ""EN""), """")"),"")</f>
        <v/>
      </c>
      <c r="K431" s="5" t="str">
        <f>IFERROR(__xludf.DUMMYFUNCTION("IF(X431&lt;&gt;"""", GOOGLETRANSLATE(X431, ""RO"", ""EN""), """")"),"")</f>
        <v/>
      </c>
      <c r="L431" s="5" t="str">
        <f>IFERROR(__xludf.DUMMYFUNCTION("IF(S431&lt;&gt;"""", GOOGLETRANSLATE(S431, ""RO"", ""EN""), """")"),"Ns")</f>
        <v>Ns</v>
      </c>
      <c r="M431" s="5" t="str">
        <f>IFERROR(__xludf.DUMMYFUNCTION("IF(T431&lt;&gt;"""", GOOGLETRANSLATE(T431, ""RO"", ""EN""), """")"),"No.")</f>
        <v>No.</v>
      </c>
      <c r="N431" s="5" t="str">
        <f>IFERROR(__xludf.DUMMYFUNCTION("IF(Y431&lt;&gt;"""", GOOGLETRANSLATE(Y431, ""RO"", ""EN""), """")"),"")</f>
        <v/>
      </c>
      <c r="P431" s="4" t="s">
        <v>1329</v>
      </c>
      <c r="Q431" s="4" t="s">
        <v>169</v>
      </c>
      <c r="R431" s="4" t="s">
        <v>170</v>
      </c>
      <c r="S431" s="4" t="s">
        <v>103</v>
      </c>
      <c r="T431" s="4" t="s">
        <v>104</v>
      </c>
      <c r="U431" s="4" t="s">
        <v>173</v>
      </c>
      <c r="V431" s="4" t="s">
        <v>1330</v>
      </c>
    </row>
    <row r="432" ht="15.75" customHeight="1">
      <c r="A432" s="4" t="s">
        <v>1331</v>
      </c>
      <c r="B432" s="4" t="s">
        <v>1332</v>
      </c>
      <c r="C432" s="4" t="str">
        <f>IFERROR(__xludf.DUMMYFUNCTION("GOOGLETRANSLATE(B432, ""RO"", ""EN"")"),"Some people say that the way people vote is not important for how things will work. Others say that the way people vote is very important for how things will work. You where you put on a scale of")</f>
        <v>Some people say that the way people vote is not important for how things will work. Others say that the way people vote is very important for how things will work. You where you put on a scale of</v>
      </c>
      <c r="D432" s="5" t="str">
        <f>IFERROR(__xludf.DUMMYFUNCTION("IF(O432&lt;&gt;"""", GOOGLETRANSLATE(O432, ""RO"", ""EN""), """")"),"")</f>
        <v/>
      </c>
      <c r="E432" s="6" t="str">
        <f>IFERROR(__xludf.DUMMYFUNCTION("IF(P432&lt;&gt;"""", GOOGLETRANSLATE(P432, ""RO"", ""EN""), """")"),"The vote has no importance for how things will go")</f>
        <v>The vote has no importance for how things will go</v>
      </c>
      <c r="F432" s="5" t="str">
        <f>IFERROR(__xludf.DUMMYFUNCTION("IF(Q432&lt;&gt;"""", GOOGLETRANSLATE(Q432, ""RO"", ""EN""), """")"),"2")</f>
        <v>2</v>
      </c>
      <c r="G432" s="5" t="str">
        <f>IFERROR(__xludf.DUMMYFUNCTION("IF(R432&lt;&gt;"""", GOOGLETRANSLATE(R432, ""RO"", ""EN""), """")"),"3")</f>
        <v>3</v>
      </c>
      <c r="H432" s="5" t="str">
        <f>IFERROR(__xludf.DUMMYFUNCTION("IF(U432&lt;&gt;"""", GOOGLETRANSLATE(U432, ""RO"", ""EN""), """")"),"4")</f>
        <v>4</v>
      </c>
      <c r="I432" s="5" t="str">
        <f>IFERROR(__xludf.DUMMYFUNCTION("IF(V432&lt;&gt;"""", GOOGLETRANSLATE(V432, ""RO"", ""EN""), """")"),"The vote is of great importance for how they will work work")</f>
        <v>The vote is of great importance for how they will work work</v>
      </c>
      <c r="J432" s="5" t="str">
        <f>IFERROR(__xludf.DUMMYFUNCTION("IF(W432&lt;&gt;"""", GOOGLETRANSLATE(W432, ""RO"", ""EN""), """")"),"")</f>
        <v/>
      </c>
      <c r="K432" s="5" t="str">
        <f>IFERROR(__xludf.DUMMYFUNCTION("IF(X432&lt;&gt;"""", GOOGLETRANSLATE(X432, ""RO"", ""EN""), """")"),"")</f>
        <v/>
      </c>
      <c r="L432" s="5" t="str">
        <f>IFERROR(__xludf.DUMMYFUNCTION("IF(S432&lt;&gt;"""", GOOGLETRANSLATE(S432, ""RO"", ""EN""), """")"),"Ns")</f>
        <v>Ns</v>
      </c>
      <c r="M432" s="5" t="str">
        <f>IFERROR(__xludf.DUMMYFUNCTION("IF(T432&lt;&gt;"""", GOOGLETRANSLATE(T432, ""RO"", ""EN""), """")"),"No.")</f>
        <v>No.</v>
      </c>
      <c r="N432" s="5" t="str">
        <f>IFERROR(__xludf.DUMMYFUNCTION("IF(Y432&lt;&gt;"""", GOOGLETRANSLATE(Y432, ""RO"", ""EN""), """")"),"")</f>
        <v/>
      </c>
      <c r="P432" s="4" t="s">
        <v>1333</v>
      </c>
      <c r="Q432" s="4" t="s">
        <v>169</v>
      </c>
      <c r="R432" s="4" t="s">
        <v>170</v>
      </c>
      <c r="S432" s="4" t="s">
        <v>103</v>
      </c>
      <c r="T432" s="4" t="s">
        <v>104</v>
      </c>
      <c r="U432" s="4" t="s">
        <v>173</v>
      </c>
      <c r="V432" s="4" t="s">
        <v>1334</v>
      </c>
    </row>
    <row r="433" ht="15.75" customHeight="1">
      <c r="A433" s="4" t="s">
        <v>1335</v>
      </c>
      <c r="B433" s="4" t="s">
        <v>1336</v>
      </c>
      <c r="C433" s="4" t="str">
        <f>IFERROR(__xludf.DUMMYFUNCTION("GOOGLETRANSLATE(B433, ""RO"", ""EN"")"),"Think of the activity of President Traian Basescu over the last five years. Do you think that in the last five years the president has done a good job or a bad job? Did he do a very good job? A good job? A bad job? A very thing")</f>
        <v>Think of the activity of President Traian Basescu over the last five years. Do you think that in the last five years the president has done a good job or a bad job? Did he do a very good job? A good job? A bad job? A very thing</v>
      </c>
      <c r="D433" s="5" t="str">
        <f>IFERROR(__xludf.DUMMYFUNCTION("IF(O433&lt;&gt;"""", GOOGLETRANSLATE(O433, ""RO"", ""EN""), """")"),"")</f>
        <v/>
      </c>
      <c r="E433" s="6" t="str">
        <f>IFERROR(__xludf.DUMMYFUNCTION("IF(P433&lt;&gt;"""", GOOGLETRANSLATE(P433, ""RO"", ""EN""), """")"),"A very good job")</f>
        <v>A very good job</v>
      </c>
      <c r="F433" s="5" t="str">
        <f>IFERROR(__xludf.DUMMYFUNCTION("IF(Q433&lt;&gt;"""", GOOGLETRANSLATE(Q433, ""RO"", ""EN""), """")"),"A good job")</f>
        <v>A good job</v>
      </c>
      <c r="G433" s="5" t="str">
        <f>IFERROR(__xludf.DUMMYFUNCTION("IF(R433&lt;&gt;"""", GOOGLETRANSLATE(R433, ""RO"", ""EN""), """")"),"A bad job")</f>
        <v>A bad job</v>
      </c>
      <c r="H433" s="5" t="str">
        <f>IFERROR(__xludf.DUMMYFUNCTION("IF(U433&lt;&gt;"""", GOOGLETRANSLATE(U433, ""RO"", ""EN""), """")"),"A very bad job")</f>
        <v>A very bad job</v>
      </c>
      <c r="I433" s="5" t="str">
        <f>IFERROR(__xludf.DUMMYFUNCTION("IF(V433&lt;&gt;"""", GOOGLETRANSLATE(V433, ""RO"", ""EN""), """")"),"")</f>
        <v/>
      </c>
      <c r="J433" s="5" t="str">
        <f>IFERROR(__xludf.DUMMYFUNCTION("IF(W433&lt;&gt;"""", GOOGLETRANSLATE(W433, ""RO"", ""EN""), """")"),"")</f>
        <v/>
      </c>
      <c r="K433" s="5" t="str">
        <f>IFERROR(__xludf.DUMMYFUNCTION("IF(X433&lt;&gt;"""", GOOGLETRANSLATE(X433, ""RO"", ""EN""), """")"),"")</f>
        <v/>
      </c>
      <c r="L433" s="5" t="str">
        <f>IFERROR(__xludf.DUMMYFUNCTION("IF(S433&lt;&gt;"""", GOOGLETRANSLATE(S433, ""RO"", ""EN""), """")"),"Ns")</f>
        <v>Ns</v>
      </c>
      <c r="M433" s="5" t="str">
        <f>IFERROR(__xludf.DUMMYFUNCTION("IF(T433&lt;&gt;"""", GOOGLETRANSLATE(T433, ""RO"", ""EN""), """")"),"No.")</f>
        <v>No.</v>
      </c>
      <c r="N433" s="5" t="str">
        <f>IFERROR(__xludf.DUMMYFUNCTION("IF(Y433&lt;&gt;"""", GOOGLETRANSLATE(Y433, ""RO"", ""EN""), """")"),"")</f>
        <v/>
      </c>
      <c r="P433" s="4" t="s">
        <v>1337</v>
      </c>
      <c r="Q433" s="4" t="s">
        <v>1338</v>
      </c>
      <c r="R433" s="4" t="s">
        <v>1339</v>
      </c>
      <c r="S433" s="4" t="s">
        <v>103</v>
      </c>
      <c r="T433" s="4" t="s">
        <v>104</v>
      </c>
      <c r="U433" s="4" t="s">
        <v>1340</v>
      </c>
    </row>
    <row r="434" ht="15.75" customHeight="1">
      <c r="A434" s="4" t="s">
        <v>1341</v>
      </c>
      <c r="B434" s="4" t="s">
        <v>717</v>
      </c>
      <c r="C434" s="4" t="str">
        <f>IFERROR(__xludf.DUMMYFUNCTION("GOOGLETRANSLATE(B434, ""RO"", ""EN"")"),"Is there a political formation in Romania that will represent your opinions well enough?")</f>
        <v>Is there a political formation in Romania that will represent your opinions well enough?</v>
      </c>
      <c r="D434" s="5" t="str">
        <f>IFERROR(__xludf.DUMMYFUNCTION("IF(O434&lt;&gt;"""", GOOGLETRANSLATE(O434, ""RO"", ""EN""), """")"),"")</f>
        <v/>
      </c>
      <c r="E434" s="6" t="str">
        <f>IFERROR(__xludf.DUMMYFUNCTION("IF(P434&lt;&gt;"""", GOOGLETRANSLATE(P434, ""RO"", ""EN""), """")"),"Yes")</f>
        <v>Yes</v>
      </c>
      <c r="F434" s="5" t="str">
        <f>IFERROR(__xludf.DUMMYFUNCTION("IF(Q434&lt;&gt;"""", GOOGLETRANSLATE(Q434, ""RO"", ""EN""), """")"),"Not")</f>
        <v>Not</v>
      </c>
      <c r="G434" s="5" t="str">
        <f>IFERROR(__xludf.DUMMYFUNCTION("IF(R434&lt;&gt;"""", GOOGLETRANSLATE(R434, ""RO"", ""EN""), """")"),"")</f>
        <v/>
      </c>
      <c r="H434" s="5" t="str">
        <f>IFERROR(__xludf.DUMMYFUNCTION("IF(U434&lt;&gt;"""", GOOGLETRANSLATE(U434, ""RO"", ""EN""), """")"),"")</f>
        <v/>
      </c>
      <c r="I434" s="5" t="str">
        <f>IFERROR(__xludf.DUMMYFUNCTION("IF(V434&lt;&gt;"""", GOOGLETRANSLATE(V434, ""RO"", ""EN""), """")"),"")</f>
        <v/>
      </c>
      <c r="J434" s="5" t="str">
        <f>IFERROR(__xludf.DUMMYFUNCTION("IF(W434&lt;&gt;"""", GOOGLETRANSLATE(W434, ""RO"", ""EN""), """")"),"")</f>
        <v/>
      </c>
      <c r="K434" s="5" t="str">
        <f>IFERROR(__xludf.DUMMYFUNCTION("IF(X434&lt;&gt;"""", GOOGLETRANSLATE(X434, ""RO"", ""EN""), """")"),"")</f>
        <v/>
      </c>
      <c r="L434" s="5" t="str">
        <f>IFERROR(__xludf.DUMMYFUNCTION("IF(S434&lt;&gt;"""", GOOGLETRANSLATE(S434, ""RO"", ""EN""), """")"),"Ns")</f>
        <v>Ns</v>
      </c>
      <c r="M434" s="5" t="str">
        <f>IFERROR(__xludf.DUMMYFUNCTION("IF(T434&lt;&gt;"""", GOOGLETRANSLATE(T434, ""RO"", ""EN""), """")"),"No.")</f>
        <v>No.</v>
      </c>
      <c r="N434" s="5" t="str">
        <f>IFERROR(__xludf.DUMMYFUNCTION("IF(Y434&lt;&gt;"""", GOOGLETRANSLATE(Y434, ""RO"", ""EN""), """")"),"")</f>
        <v/>
      </c>
      <c r="P434" s="4" t="s">
        <v>639</v>
      </c>
      <c r="Q434" s="4" t="s">
        <v>640</v>
      </c>
      <c r="S434" s="4" t="s">
        <v>103</v>
      </c>
      <c r="T434" s="4" t="s">
        <v>104</v>
      </c>
    </row>
    <row r="435" ht="15.75" customHeight="1">
      <c r="A435" s="4" t="s">
        <v>1342</v>
      </c>
      <c r="B435" s="4" t="s">
        <v>719</v>
      </c>
      <c r="C435" s="4" t="str">
        <f>IFERROR(__xludf.DUMMYFUNCTION("GOOGLETRANSLATE(B435, ""RO"", ""EN"")"),"What is the political formation that best represents your opinions?")</f>
        <v>What is the political formation that best represents your opinions?</v>
      </c>
      <c r="D435" s="5" t="str">
        <f>IFERROR(__xludf.DUMMYFUNCTION("IF(O435&lt;&gt;"""", GOOGLETRANSLATE(O435, ""RO"", ""EN""), """")"),"")</f>
        <v/>
      </c>
      <c r="E435" s="6" t="str">
        <f>IFERROR(__xludf.DUMMYFUNCTION("IF(P435&lt;&gt;"""", GOOGLETRANSLATE(P435, ""RO"", ""EN""), """")"),"")</f>
        <v/>
      </c>
      <c r="F435" s="5" t="str">
        <f>IFERROR(__xludf.DUMMYFUNCTION("IF(Q435&lt;&gt;"""", GOOGLETRANSLATE(Q435, ""RO"", ""EN""), """")"),"")</f>
        <v/>
      </c>
      <c r="G435" s="5" t="str">
        <f>IFERROR(__xludf.DUMMYFUNCTION("IF(R435&lt;&gt;"""", GOOGLETRANSLATE(R435, ""RO"", ""EN""), """")"),"")</f>
        <v/>
      </c>
      <c r="H435" s="5" t="str">
        <f>IFERROR(__xludf.DUMMYFUNCTION("IF(U435&lt;&gt;"""", GOOGLETRANSLATE(U435, ""RO"", ""EN""), """")"),"")</f>
        <v/>
      </c>
      <c r="I435" s="5" t="str">
        <f>IFERROR(__xludf.DUMMYFUNCTION("IF(V435&lt;&gt;"""", GOOGLETRANSLATE(V435, ""RO"", ""EN""), """")"),"")</f>
        <v/>
      </c>
      <c r="J435" s="5" t="str">
        <f>IFERROR(__xludf.DUMMYFUNCTION("IF(W435&lt;&gt;"""", GOOGLETRANSLATE(W435, ""RO"", ""EN""), """")"),"")</f>
        <v/>
      </c>
      <c r="K435" s="5" t="str">
        <f>IFERROR(__xludf.DUMMYFUNCTION("IF(X435&lt;&gt;"""", GOOGLETRANSLATE(X435, ""RO"", ""EN""), """")"),"")</f>
        <v/>
      </c>
      <c r="L435" s="5" t="str">
        <f>IFERROR(__xludf.DUMMYFUNCTION("IF(S435&lt;&gt;"""", GOOGLETRANSLATE(S435, ""RO"", ""EN""), """")"),"")</f>
        <v/>
      </c>
      <c r="M435" s="5" t="str">
        <f>IFERROR(__xludf.DUMMYFUNCTION("IF(T435&lt;&gt;"""", GOOGLETRANSLATE(T435, ""RO"", ""EN""), """")"),"")</f>
        <v/>
      </c>
      <c r="N435" s="5" t="str">
        <f>IFERROR(__xludf.DUMMYFUNCTION("IF(Y435&lt;&gt;"""", GOOGLETRANSLATE(Y435, ""RO"", ""EN""), """")"),"")</f>
        <v/>
      </c>
    </row>
    <row r="436" ht="15.75" customHeight="1">
      <c r="A436" s="4" t="s">
        <v>1343</v>
      </c>
      <c r="B436" s="4" t="s">
        <v>1344</v>
      </c>
      <c r="C436" s="4" t="str">
        <f>IFERROR(__xludf.DUMMYFUNCTION("GOOGLETRANSLATE(B436, ""RO"", ""EN"")"),"Regardless of what you feel about political parties, was there a candidate for the last presidential elections to represent your opinions well enough?")</f>
        <v>Regardless of what you feel about political parties, was there a candidate for the last presidential elections to represent your opinions well enough?</v>
      </c>
      <c r="D436" s="5" t="str">
        <f>IFERROR(__xludf.DUMMYFUNCTION("IF(O436&lt;&gt;"""", GOOGLETRANSLATE(O436, ""RO"", ""EN""), """")"),"")</f>
        <v/>
      </c>
      <c r="E436" s="6" t="str">
        <f>IFERROR(__xludf.DUMMYFUNCTION("IF(P436&lt;&gt;"""", GOOGLETRANSLATE(P436, ""RO"", ""EN""), """")"),"Yes")</f>
        <v>Yes</v>
      </c>
      <c r="F436" s="5" t="str">
        <f>IFERROR(__xludf.DUMMYFUNCTION("IF(Q436&lt;&gt;"""", GOOGLETRANSLATE(Q436, ""RO"", ""EN""), """")"),"Not")</f>
        <v>Not</v>
      </c>
      <c r="G436" s="5" t="str">
        <f>IFERROR(__xludf.DUMMYFUNCTION("IF(R436&lt;&gt;"""", GOOGLETRANSLATE(R436, ""RO"", ""EN""), """")"),"")</f>
        <v/>
      </c>
      <c r="H436" s="5" t="str">
        <f>IFERROR(__xludf.DUMMYFUNCTION("IF(U436&lt;&gt;"""", GOOGLETRANSLATE(U436, ""RO"", ""EN""), """")"),"")</f>
        <v/>
      </c>
      <c r="I436" s="5" t="str">
        <f>IFERROR(__xludf.DUMMYFUNCTION("IF(V436&lt;&gt;"""", GOOGLETRANSLATE(V436, ""RO"", ""EN""), """")"),"")</f>
        <v/>
      </c>
      <c r="J436" s="5" t="str">
        <f>IFERROR(__xludf.DUMMYFUNCTION("IF(W436&lt;&gt;"""", GOOGLETRANSLATE(W436, ""RO"", ""EN""), """")"),"")</f>
        <v/>
      </c>
      <c r="K436" s="5" t="str">
        <f>IFERROR(__xludf.DUMMYFUNCTION("IF(X436&lt;&gt;"""", GOOGLETRANSLATE(X436, ""RO"", ""EN""), """")"),"")</f>
        <v/>
      </c>
      <c r="L436" s="5" t="str">
        <f>IFERROR(__xludf.DUMMYFUNCTION("IF(S436&lt;&gt;"""", GOOGLETRANSLATE(S436, ""RO"", ""EN""), """")"),"Ns")</f>
        <v>Ns</v>
      </c>
      <c r="M436" s="5" t="str">
        <f>IFERROR(__xludf.DUMMYFUNCTION("IF(T436&lt;&gt;"""", GOOGLETRANSLATE(T436, ""RO"", ""EN""), """")"),"No.")</f>
        <v>No.</v>
      </c>
      <c r="N436" s="5" t="str">
        <f>IFERROR(__xludf.DUMMYFUNCTION("IF(Y436&lt;&gt;"""", GOOGLETRANSLATE(Y436, ""RO"", ""EN""), """")"),"")</f>
        <v/>
      </c>
      <c r="P436" s="4" t="s">
        <v>639</v>
      </c>
      <c r="Q436" s="4" t="s">
        <v>640</v>
      </c>
      <c r="S436" s="4" t="s">
        <v>103</v>
      </c>
      <c r="T436" s="4" t="s">
        <v>104</v>
      </c>
    </row>
    <row r="437" ht="15.75" customHeight="1">
      <c r="A437" s="4" t="s">
        <v>1345</v>
      </c>
      <c r="B437" s="4" t="s">
        <v>1346</v>
      </c>
      <c r="C437" s="4" t="str">
        <f>IFERROR(__xludf.DUMMYFUNCTION("GOOGLETRANSLATE(B437, ""RO"", ""EN"")"),"Which candidate for the presidential elections will represent/best represent your opinions?")</f>
        <v>Which candidate for the presidential elections will represent/best represent your opinions?</v>
      </c>
      <c r="D437" s="5" t="str">
        <f>IFERROR(__xludf.DUMMYFUNCTION("IF(O437&lt;&gt;"""", GOOGLETRANSLATE(O437, ""RO"", ""EN""), """")"),"")</f>
        <v/>
      </c>
      <c r="E437" s="6" t="str">
        <f>IFERROR(__xludf.DUMMYFUNCTION("IF(P437&lt;&gt;"""", GOOGLETRANSLATE(P437, ""RO"", ""EN""), """")"),"Mircea Geoana")</f>
        <v>Mircea Geoana</v>
      </c>
      <c r="F437" s="5" t="str">
        <f>IFERROR(__xludf.DUMMYFUNCTION("IF(Q437&lt;&gt;"""", GOOGLETRANSLATE(Q437, ""RO"", ""EN""), """")"),"Crin Antonescu")</f>
        <v>Crin Antonescu</v>
      </c>
      <c r="G437" s="5" t="str">
        <f>IFERROR(__xludf.DUMMYFUNCTION("IF(R437&lt;&gt;"""", GOOGLETRANSLATE(R437, ""RO"", ""EN""), """")"),"Traian Basescu")</f>
        <v>Traian Basescu</v>
      </c>
      <c r="H437" s="5" t="str">
        <f>IFERROR(__xludf.DUMMYFUNCTION("IF(U437&lt;&gt;"""", GOOGLETRANSLATE(U437, ""RO"", ""EN""), """")"),"Sorin Oprescu")</f>
        <v>Sorin Oprescu</v>
      </c>
      <c r="I437" s="5" t="str">
        <f>IFERROR(__xludf.DUMMYFUNCTION("IF(V437&lt;&gt;"""", GOOGLETRANSLATE(V437, ""RO"", ""EN""), """")"),"Corneliu Vadim Tudor")</f>
        <v>Corneliu Vadim Tudor</v>
      </c>
      <c r="J437" s="5" t="str">
        <f>IFERROR(__xludf.DUMMYFUNCTION("IF(W437&lt;&gt;"""", GOOGLETRANSLATE(W437, ""RO"", ""EN""), """")"),"Kelemen Hunor")</f>
        <v>Kelemen Hunor</v>
      </c>
      <c r="K437" s="5" t="str">
        <f>IFERROR(__xludf.DUMMYFUNCTION("IF(X437&lt;&gt;"""", GOOGLETRANSLATE(X437, ""RO"", ""EN""), """")"),"George Becali")</f>
        <v>George Becali</v>
      </c>
      <c r="L437" s="5" t="str">
        <f>IFERROR(__xludf.DUMMYFUNCTION("IF(S437&lt;&gt;"""", GOOGLETRANSLATE(S437, ""RO"", ""EN""), """")"),"Another candidate")</f>
        <v>Another candidate</v>
      </c>
      <c r="M437" s="5" t="str">
        <f>IFERROR(__xludf.DUMMYFUNCTION("IF(T437&lt;&gt;"""", GOOGLETRANSLATE(T437, ""RO"", ""EN""), """")"),"")</f>
        <v/>
      </c>
      <c r="N437" s="5" t="str">
        <f>IFERROR(__xludf.DUMMYFUNCTION("IF(Y437&lt;&gt;"""", GOOGLETRANSLATE(Y437, ""RO"", ""EN""), """")"),"")</f>
        <v/>
      </c>
      <c r="P437" s="4" t="s">
        <v>219</v>
      </c>
      <c r="Q437" s="4" t="s">
        <v>220</v>
      </c>
      <c r="R437" s="4" t="s">
        <v>221</v>
      </c>
      <c r="S437" s="4" t="s">
        <v>485</v>
      </c>
      <c r="U437" s="4" t="s">
        <v>223</v>
      </c>
      <c r="V437" s="4" t="s">
        <v>224</v>
      </c>
      <c r="W437" s="4" t="s">
        <v>225</v>
      </c>
      <c r="X437" s="4" t="s">
        <v>226</v>
      </c>
      <c r="AA437" s="4" t="s">
        <v>103</v>
      </c>
      <c r="AB437" s="4" t="s">
        <v>104</v>
      </c>
      <c r="AD437" s="4" t="s">
        <v>1324</v>
      </c>
    </row>
    <row r="438" ht="15.75" customHeight="1">
      <c r="A438" s="4" t="s">
        <v>1347</v>
      </c>
      <c r="B438" s="4" t="s">
        <v>1348</v>
      </c>
      <c r="C438" s="4" t="str">
        <f>IFERROR(__xludf.DUMMYFUNCTION("GOOGLETRANSLATE(B438, ""RO"", ""EN"")"),"We would like to know what you think about the main political parties. I will read one by one their name, with the request to evaluate each one on a scale from 0 to 10, where 0 means that political party will not like it at all, and 10 that you will like")</f>
        <v>We would like to know what you think about the main political parties. I will read one by one their name, with the request to evaluate each one on a scale from 0 to 10, where 0 means that political party will not like it at all, and 10 that you will like</v>
      </c>
      <c r="D438" s="5" t="str">
        <f>IFERROR(__xludf.DUMMYFUNCTION("IF(O438&lt;&gt;"""", GOOGLETRANSLATE(O438, ""RO"", ""EN""), """")"),"I do not like it at all")</f>
        <v>I do not like it at all</v>
      </c>
      <c r="E438" s="6" t="str">
        <f>IFERROR(__xludf.DUMMYFUNCTION("IF(P438&lt;&gt;"""", GOOGLETRANSLATE(P438, ""RO"", ""EN""), """")"),"1")</f>
        <v>1</v>
      </c>
      <c r="F438" s="5" t="str">
        <f>IFERROR(__xludf.DUMMYFUNCTION("IF(Q438&lt;&gt;"""", GOOGLETRANSLATE(Q438, ""RO"", ""EN""), """")"),"2")</f>
        <v>2</v>
      </c>
      <c r="G438" s="5" t="str">
        <f>IFERROR(__xludf.DUMMYFUNCTION("IF(R438&lt;&gt;"""", GOOGLETRANSLATE(R438, ""RO"", ""EN""), """")"),"3")</f>
        <v>3</v>
      </c>
      <c r="H438" s="5" t="str">
        <f>IFERROR(__xludf.DUMMYFUNCTION("IF(U438&lt;&gt;"""", GOOGLETRANSLATE(U438, ""RO"", ""EN""), """")"),"4")</f>
        <v>4</v>
      </c>
      <c r="I438" s="5" t="str">
        <f>IFERROR(__xludf.DUMMYFUNCTION("IF(V438&lt;&gt;"""", GOOGLETRANSLATE(V438, ""RO"", ""EN""), """")"),"5")</f>
        <v>5</v>
      </c>
      <c r="J438" s="5" t="str">
        <f>IFERROR(__xludf.DUMMYFUNCTION("IF(W438&lt;&gt;"""", GOOGLETRANSLATE(W438, ""RO"", ""EN""), """")"),"6")</f>
        <v>6</v>
      </c>
      <c r="K438" s="5" t="str">
        <f>IFERROR(__xludf.DUMMYFUNCTION("IF(X438&lt;&gt;"""", GOOGLETRANSLATE(X438, ""RO"", ""EN""), """")"),"7")</f>
        <v>7</v>
      </c>
      <c r="L438" s="5" t="str">
        <f>IFERROR(__xludf.DUMMYFUNCTION("IF(S438&lt;&gt;"""", GOOGLETRANSLATE(S438, ""RO"", ""EN""), """")"),"8")</f>
        <v>8</v>
      </c>
      <c r="M438" s="5" t="str">
        <f>IFERROR(__xludf.DUMMYFUNCTION("IF(T438&lt;&gt;"""", GOOGLETRANSLATE(T438, ""RO"", ""EN""), """")"),"9")</f>
        <v>9</v>
      </c>
      <c r="N438" s="5" t="str">
        <f>IFERROR(__xludf.DUMMYFUNCTION("IF(Y438&lt;&gt;"""", GOOGLETRANSLATE(Y438, ""RO"", ""EN""), """")"),"I really like")</f>
        <v>I really like</v>
      </c>
      <c r="O438" s="4" t="s">
        <v>313</v>
      </c>
      <c r="P438" s="4" t="s">
        <v>168</v>
      </c>
      <c r="Q438" s="4" t="s">
        <v>169</v>
      </c>
      <c r="R438" s="4" t="s">
        <v>170</v>
      </c>
      <c r="S438" s="4" t="s">
        <v>171</v>
      </c>
      <c r="T438" s="4" t="s">
        <v>172</v>
      </c>
      <c r="U438" s="4" t="s">
        <v>173</v>
      </c>
      <c r="V438" s="4" t="s">
        <v>174</v>
      </c>
      <c r="W438" s="4" t="s">
        <v>175</v>
      </c>
      <c r="X438" s="4" t="s">
        <v>176</v>
      </c>
      <c r="Y438" s="4" t="s">
        <v>314</v>
      </c>
      <c r="Z438" s="4" t="s">
        <v>1349</v>
      </c>
      <c r="AA438" s="4" t="s">
        <v>1350</v>
      </c>
      <c r="AB438" s="4" t="s">
        <v>104</v>
      </c>
    </row>
    <row r="439" ht="15.75" customHeight="1">
      <c r="A439" s="4" t="s">
        <v>1351</v>
      </c>
      <c r="B439" s="4" t="s">
        <v>1248</v>
      </c>
      <c r="C439" s="4" t="str">
        <f>IFERROR(__xludf.DUMMYFUNCTION("GOOGLETRANSLATE(B439, ""RO"", ""EN"")"),"PNL")</f>
        <v>PNL</v>
      </c>
      <c r="D439" s="5" t="str">
        <f>IFERROR(__xludf.DUMMYFUNCTION("IF(O439&lt;&gt;"""", GOOGLETRANSLATE(O439, ""RO"", ""EN""), """")"),"I do not like it at all")</f>
        <v>I do not like it at all</v>
      </c>
      <c r="E439" s="6" t="str">
        <f>IFERROR(__xludf.DUMMYFUNCTION("IF(P439&lt;&gt;"""", GOOGLETRANSLATE(P439, ""RO"", ""EN""), """")"),"1")</f>
        <v>1</v>
      </c>
      <c r="F439" s="5" t="str">
        <f>IFERROR(__xludf.DUMMYFUNCTION("IF(Q439&lt;&gt;"""", GOOGLETRANSLATE(Q439, ""RO"", ""EN""), """")"),"2")</f>
        <v>2</v>
      </c>
      <c r="G439" s="5" t="str">
        <f>IFERROR(__xludf.DUMMYFUNCTION("IF(R439&lt;&gt;"""", GOOGLETRANSLATE(R439, ""RO"", ""EN""), """")"),"3")</f>
        <v>3</v>
      </c>
      <c r="H439" s="5" t="str">
        <f>IFERROR(__xludf.DUMMYFUNCTION("IF(U439&lt;&gt;"""", GOOGLETRANSLATE(U439, ""RO"", ""EN""), """")"),"4")</f>
        <v>4</v>
      </c>
      <c r="I439" s="5" t="str">
        <f>IFERROR(__xludf.DUMMYFUNCTION("IF(V439&lt;&gt;"""", GOOGLETRANSLATE(V439, ""RO"", ""EN""), """")"),"5")</f>
        <v>5</v>
      </c>
      <c r="J439" s="5" t="str">
        <f>IFERROR(__xludf.DUMMYFUNCTION("IF(W439&lt;&gt;"""", GOOGLETRANSLATE(W439, ""RO"", ""EN""), """")"),"6")</f>
        <v>6</v>
      </c>
      <c r="K439" s="5" t="str">
        <f>IFERROR(__xludf.DUMMYFUNCTION("IF(X439&lt;&gt;"""", GOOGLETRANSLATE(X439, ""RO"", ""EN""), """")"),"7")</f>
        <v>7</v>
      </c>
      <c r="L439" s="5" t="str">
        <f>IFERROR(__xludf.DUMMYFUNCTION("IF(S439&lt;&gt;"""", GOOGLETRANSLATE(S439, ""RO"", ""EN""), """")"),"8")</f>
        <v>8</v>
      </c>
      <c r="M439" s="5" t="str">
        <f>IFERROR(__xludf.DUMMYFUNCTION("IF(T439&lt;&gt;"""", GOOGLETRANSLATE(T439, ""RO"", ""EN""), """")"),"9")</f>
        <v>9</v>
      </c>
      <c r="N439" s="5" t="str">
        <f>IFERROR(__xludf.DUMMYFUNCTION("IF(Y439&lt;&gt;"""", GOOGLETRANSLATE(Y439, ""RO"", ""EN""), """")"),"I really like")</f>
        <v>I really like</v>
      </c>
      <c r="O439" s="4" t="s">
        <v>313</v>
      </c>
      <c r="P439" s="4" t="s">
        <v>168</v>
      </c>
      <c r="Q439" s="4" t="s">
        <v>169</v>
      </c>
      <c r="R439" s="4" t="s">
        <v>170</v>
      </c>
      <c r="S439" s="4" t="s">
        <v>171</v>
      </c>
      <c r="T439" s="4" t="s">
        <v>172</v>
      </c>
      <c r="U439" s="4" t="s">
        <v>173</v>
      </c>
      <c r="V439" s="4" t="s">
        <v>174</v>
      </c>
      <c r="W439" s="4" t="s">
        <v>175</v>
      </c>
      <c r="X439" s="4" t="s">
        <v>176</v>
      </c>
      <c r="Y439" s="4" t="s">
        <v>314</v>
      </c>
      <c r="Z439" s="4" t="s">
        <v>1349</v>
      </c>
      <c r="AA439" s="4" t="s">
        <v>1350</v>
      </c>
      <c r="AB439" s="4" t="s">
        <v>104</v>
      </c>
    </row>
    <row r="440" ht="15.75" customHeight="1">
      <c r="A440" s="4" t="s">
        <v>1352</v>
      </c>
      <c r="B440" s="4" t="s">
        <v>1246</v>
      </c>
      <c r="C440" s="4" t="str">
        <f>IFERROR(__xludf.DUMMYFUNCTION("GOOGLETRANSLATE(B440, ""RO"", ""EN"")"),"Pdl")</f>
        <v>Pdl</v>
      </c>
      <c r="D440" s="5" t="str">
        <f>IFERROR(__xludf.DUMMYFUNCTION("IF(O440&lt;&gt;"""", GOOGLETRANSLATE(O440, ""RO"", ""EN""), """")"),"I do not like it at all")</f>
        <v>I do not like it at all</v>
      </c>
      <c r="E440" s="6" t="str">
        <f>IFERROR(__xludf.DUMMYFUNCTION("IF(P440&lt;&gt;"""", GOOGLETRANSLATE(P440, ""RO"", ""EN""), """")"),"1")</f>
        <v>1</v>
      </c>
      <c r="F440" s="5" t="str">
        <f>IFERROR(__xludf.DUMMYFUNCTION("IF(Q440&lt;&gt;"""", GOOGLETRANSLATE(Q440, ""RO"", ""EN""), """")"),"2")</f>
        <v>2</v>
      </c>
      <c r="G440" s="5" t="str">
        <f>IFERROR(__xludf.DUMMYFUNCTION("IF(R440&lt;&gt;"""", GOOGLETRANSLATE(R440, ""RO"", ""EN""), """")"),"3")</f>
        <v>3</v>
      </c>
      <c r="H440" s="5" t="str">
        <f>IFERROR(__xludf.DUMMYFUNCTION("IF(U440&lt;&gt;"""", GOOGLETRANSLATE(U440, ""RO"", ""EN""), """")"),"4")</f>
        <v>4</v>
      </c>
      <c r="I440" s="5" t="str">
        <f>IFERROR(__xludf.DUMMYFUNCTION("IF(V440&lt;&gt;"""", GOOGLETRANSLATE(V440, ""RO"", ""EN""), """")"),"5")</f>
        <v>5</v>
      </c>
      <c r="J440" s="5" t="str">
        <f>IFERROR(__xludf.DUMMYFUNCTION("IF(W440&lt;&gt;"""", GOOGLETRANSLATE(W440, ""RO"", ""EN""), """")"),"6")</f>
        <v>6</v>
      </c>
      <c r="K440" s="5" t="str">
        <f>IFERROR(__xludf.DUMMYFUNCTION("IF(X440&lt;&gt;"""", GOOGLETRANSLATE(X440, ""RO"", ""EN""), """")"),"7")</f>
        <v>7</v>
      </c>
      <c r="L440" s="5" t="str">
        <f>IFERROR(__xludf.DUMMYFUNCTION("IF(S440&lt;&gt;"""", GOOGLETRANSLATE(S440, ""RO"", ""EN""), """")"),"8")</f>
        <v>8</v>
      </c>
      <c r="M440" s="5" t="str">
        <f>IFERROR(__xludf.DUMMYFUNCTION("IF(T440&lt;&gt;"""", GOOGLETRANSLATE(T440, ""RO"", ""EN""), """")"),"9")</f>
        <v>9</v>
      </c>
      <c r="N440" s="5" t="str">
        <f>IFERROR(__xludf.DUMMYFUNCTION("IF(Y440&lt;&gt;"""", GOOGLETRANSLATE(Y440, ""RO"", ""EN""), """")"),"I really like")</f>
        <v>I really like</v>
      </c>
      <c r="O440" s="4" t="s">
        <v>313</v>
      </c>
      <c r="P440" s="4" t="s">
        <v>168</v>
      </c>
      <c r="Q440" s="4" t="s">
        <v>169</v>
      </c>
      <c r="R440" s="4" t="s">
        <v>170</v>
      </c>
      <c r="S440" s="4" t="s">
        <v>171</v>
      </c>
      <c r="T440" s="4" t="s">
        <v>172</v>
      </c>
      <c r="U440" s="4" t="s">
        <v>173</v>
      </c>
      <c r="V440" s="4" t="s">
        <v>174</v>
      </c>
      <c r="W440" s="4" t="s">
        <v>175</v>
      </c>
      <c r="X440" s="4" t="s">
        <v>176</v>
      </c>
      <c r="Y440" s="4" t="s">
        <v>314</v>
      </c>
      <c r="Z440" s="4" t="s">
        <v>1349</v>
      </c>
      <c r="AA440" s="4" t="s">
        <v>1350</v>
      </c>
      <c r="AB440" s="4" t="s">
        <v>104</v>
      </c>
    </row>
    <row r="441" ht="15.75" customHeight="1">
      <c r="A441" s="4" t="s">
        <v>1353</v>
      </c>
      <c r="B441" s="4" t="s">
        <v>1250</v>
      </c>
      <c r="C441" s="4" t="str">
        <f>IFERROR(__xludf.DUMMYFUNCTION("GOOGLETRANSLATE(B441, ""RO"", ""EN"")"),"Udmr")</f>
        <v>Udmr</v>
      </c>
      <c r="D441" s="5" t="str">
        <f>IFERROR(__xludf.DUMMYFUNCTION("IF(O441&lt;&gt;"""", GOOGLETRANSLATE(O441, ""RO"", ""EN""), """")"),"I do not like it at all")</f>
        <v>I do not like it at all</v>
      </c>
      <c r="E441" s="6" t="str">
        <f>IFERROR(__xludf.DUMMYFUNCTION("IF(P441&lt;&gt;"""", GOOGLETRANSLATE(P441, ""RO"", ""EN""), """")"),"1")</f>
        <v>1</v>
      </c>
      <c r="F441" s="5" t="str">
        <f>IFERROR(__xludf.DUMMYFUNCTION("IF(Q441&lt;&gt;"""", GOOGLETRANSLATE(Q441, ""RO"", ""EN""), """")"),"2")</f>
        <v>2</v>
      </c>
      <c r="G441" s="5" t="str">
        <f>IFERROR(__xludf.DUMMYFUNCTION("IF(R441&lt;&gt;"""", GOOGLETRANSLATE(R441, ""RO"", ""EN""), """")"),"3")</f>
        <v>3</v>
      </c>
      <c r="H441" s="5" t="str">
        <f>IFERROR(__xludf.DUMMYFUNCTION("IF(U441&lt;&gt;"""", GOOGLETRANSLATE(U441, ""RO"", ""EN""), """")"),"4")</f>
        <v>4</v>
      </c>
      <c r="I441" s="5" t="str">
        <f>IFERROR(__xludf.DUMMYFUNCTION("IF(V441&lt;&gt;"""", GOOGLETRANSLATE(V441, ""RO"", ""EN""), """")"),"5")</f>
        <v>5</v>
      </c>
      <c r="J441" s="5" t="str">
        <f>IFERROR(__xludf.DUMMYFUNCTION("IF(W441&lt;&gt;"""", GOOGLETRANSLATE(W441, ""RO"", ""EN""), """")"),"6")</f>
        <v>6</v>
      </c>
      <c r="K441" s="5" t="str">
        <f>IFERROR(__xludf.DUMMYFUNCTION("IF(X441&lt;&gt;"""", GOOGLETRANSLATE(X441, ""RO"", ""EN""), """")"),"7")</f>
        <v>7</v>
      </c>
      <c r="L441" s="5" t="str">
        <f>IFERROR(__xludf.DUMMYFUNCTION("IF(S441&lt;&gt;"""", GOOGLETRANSLATE(S441, ""RO"", ""EN""), """")"),"8")</f>
        <v>8</v>
      </c>
      <c r="M441" s="5" t="str">
        <f>IFERROR(__xludf.DUMMYFUNCTION("IF(T441&lt;&gt;"""", GOOGLETRANSLATE(T441, ""RO"", ""EN""), """")"),"9")</f>
        <v>9</v>
      </c>
      <c r="N441" s="5" t="str">
        <f>IFERROR(__xludf.DUMMYFUNCTION("IF(Y441&lt;&gt;"""", GOOGLETRANSLATE(Y441, ""RO"", ""EN""), """")"),"I really like")</f>
        <v>I really like</v>
      </c>
      <c r="O441" s="4" t="s">
        <v>313</v>
      </c>
      <c r="P441" s="4" t="s">
        <v>168</v>
      </c>
      <c r="Q441" s="4" t="s">
        <v>169</v>
      </c>
      <c r="R441" s="4" t="s">
        <v>170</v>
      </c>
      <c r="S441" s="4" t="s">
        <v>171</v>
      </c>
      <c r="T441" s="4" t="s">
        <v>172</v>
      </c>
      <c r="U441" s="4" t="s">
        <v>173</v>
      </c>
      <c r="V441" s="4" t="s">
        <v>174</v>
      </c>
      <c r="W441" s="4" t="s">
        <v>175</v>
      </c>
      <c r="X441" s="4" t="s">
        <v>176</v>
      </c>
      <c r="Y441" s="4" t="s">
        <v>314</v>
      </c>
      <c r="Z441" s="4" t="s">
        <v>1349</v>
      </c>
      <c r="AA441" s="4" t="s">
        <v>1350</v>
      </c>
      <c r="AB441" s="4" t="s">
        <v>104</v>
      </c>
    </row>
    <row r="442" ht="15.75" customHeight="1">
      <c r="A442" s="4" t="s">
        <v>1354</v>
      </c>
      <c r="B442" s="4" t="s">
        <v>1251</v>
      </c>
      <c r="C442" s="4" t="str">
        <f>IFERROR(__xludf.DUMMYFUNCTION("GOOGLETRANSLATE(B442, ""RO"", ""EN"")"),"PRM")</f>
        <v>PRM</v>
      </c>
      <c r="D442" s="5" t="str">
        <f>IFERROR(__xludf.DUMMYFUNCTION("IF(O442&lt;&gt;"""", GOOGLETRANSLATE(O442, ""RO"", ""EN""), """")"),"I do not like it at all")</f>
        <v>I do not like it at all</v>
      </c>
      <c r="E442" s="6" t="str">
        <f>IFERROR(__xludf.DUMMYFUNCTION("IF(P442&lt;&gt;"""", GOOGLETRANSLATE(P442, ""RO"", ""EN""), """")"),"1")</f>
        <v>1</v>
      </c>
      <c r="F442" s="5" t="str">
        <f>IFERROR(__xludf.DUMMYFUNCTION("IF(Q442&lt;&gt;"""", GOOGLETRANSLATE(Q442, ""RO"", ""EN""), """")"),"2")</f>
        <v>2</v>
      </c>
      <c r="G442" s="5" t="str">
        <f>IFERROR(__xludf.DUMMYFUNCTION("IF(R442&lt;&gt;"""", GOOGLETRANSLATE(R442, ""RO"", ""EN""), """")"),"3")</f>
        <v>3</v>
      </c>
      <c r="H442" s="5" t="str">
        <f>IFERROR(__xludf.DUMMYFUNCTION("IF(U442&lt;&gt;"""", GOOGLETRANSLATE(U442, ""RO"", ""EN""), """")"),"4")</f>
        <v>4</v>
      </c>
      <c r="I442" s="5" t="str">
        <f>IFERROR(__xludf.DUMMYFUNCTION("IF(V442&lt;&gt;"""", GOOGLETRANSLATE(V442, ""RO"", ""EN""), """")"),"5")</f>
        <v>5</v>
      </c>
      <c r="J442" s="5" t="str">
        <f>IFERROR(__xludf.DUMMYFUNCTION("IF(W442&lt;&gt;"""", GOOGLETRANSLATE(W442, ""RO"", ""EN""), """")"),"6")</f>
        <v>6</v>
      </c>
      <c r="K442" s="5" t="str">
        <f>IFERROR(__xludf.DUMMYFUNCTION("IF(X442&lt;&gt;"""", GOOGLETRANSLATE(X442, ""RO"", ""EN""), """")"),"7")</f>
        <v>7</v>
      </c>
      <c r="L442" s="5" t="str">
        <f>IFERROR(__xludf.DUMMYFUNCTION("IF(S442&lt;&gt;"""", GOOGLETRANSLATE(S442, ""RO"", ""EN""), """")"),"8")</f>
        <v>8</v>
      </c>
      <c r="M442" s="5" t="str">
        <f>IFERROR(__xludf.DUMMYFUNCTION("IF(T442&lt;&gt;"""", GOOGLETRANSLATE(T442, ""RO"", ""EN""), """")"),"9")</f>
        <v>9</v>
      </c>
      <c r="N442" s="5" t="str">
        <f>IFERROR(__xludf.DUMMYFUNCTION("IF(Y442&lt;&gt;"""", GOOGLETRANSLATE(Y442, ""RO"", ""EN""), """")"),"I really like")</f>
        <v>I really like</v>
      </c>
      <c r="O442" s="4" t="s">
        <v>313</v>
      </c>
      <c r="P442" s="4" t="s">
        <v>168</v>
      </c>
      <c r="Q442" s="4" t="s">
        <v>169</v>
      </c>
      <c r="R442" s="4" t="s">
        <v>170</v>
      </c>
      <c r="S442" s="4" t="s">
        <v>171</v>
      </c>
      <c r="T442" s="4" t="s">
        <v>172</v>
      </c>
      <c r="U442" s="4" t="s">
        <v>173</v>
      </c>
      <c r="V442" s="4" t="s">
        <v>174</v>
      </c>
      <c r="W442" s="4" t="s">
        <v>175</v>
      </c>
      <c r="X442" s="4" t="s">
        <v>176</v>
      </c>
      <c r="Y442" s="4" t="s">
        <v>314</v>
      </c>
      <c r="Z442" s="4" t="s">
        <v>1349</v>
      </c>
      <c r="AA442" s="4" t="s">
        <v>1350</v>
      </c>
      <c r="AB442" s="4" t="s">
        <v>104</v>
      </c>
    </row>
    <row r="443" ht="15.75" customHeight="1">
      <c r="A443" s="4" t="s">
        <v>1355</v>
      </c>
      <c r="B443" s="4" t="s">
        <v>1356</v>
      </c>
      <c r="C443" s="4" t="str">
        <f>IFERROR(__xludf.DUMMYFUNCTION("GOOGLETRANSLATE(B443, ""RO"", ""EN"")"),"PNG-cd")</f>
        <v>PNG-cd</v>
      </c>
      <c r="D443" s="5" t="str">
        <f>IFERROR(__xludf.DUMMYFUNCTION("IF(O443&lt;&gt;"""", GOOGLETRANSLATE(O443, ""RO"", ""EN""), """")"),"I do not like it at all")</f>
        <v>I do not like it at all</v>
      </c>
      <c r="E443" s="6" t="str">
        <f>IFERROR(__xludf.DUMMYFUNCTION("IF(P443&lt;&gt;"""", GOOGLETRANSLATE(P443, ""RO"", ""EN""), """")"),"1")</f>
        <v>1</v>
      </c>
      <c r="F443" s="5" t="str">
        <f>IFERROR(__xludf.DUMMYFUNCTION("IF(Q443&lt;&gt;"""", GOOGLETRANSLATE(Q443, ""RO"", ""EN""), """")"),"2")</f>
        <v>2</v>
      </c>
      <c r="G443" s="5" t="str">
        <f>IFERROR(__xludf.DUMMYFUNCTION("IF(R443&lt;&gt;"""", GOOGLETRANSLATE(R443, ""RO"", ""EN""), """")"),"3")</f>
        <v>3</v>
      </c>
      <c r="H443" s="5" t="str">
        <f>IFERROR(__xludf.DUMMYFUNCTION("IF(U443&lt;&gt;"""", GOOGLETRANSLATE(U443, ""RO"", ""EN""), """")"),"4")</f>
        <v>4</v>
      </c>
      <c r="I443" s="5" t="str">
        <f>IFERROR(__xludf.DUMMYFUNCTION("IF(V443&lt;&gt;"""", GOOGLETRANSLATE(V443, ""RO"", ""EN""), """")"),"5")</f>
        <v>5</v>
      </c>
      <c r="J443" s="5" t="str">
        <f>IFERROR(__xludf.DUMMYFUNCTION("IF(W443&lt;&gt;"""", GOOGLETRANSLATE(W443, ""RO"", ""EN""), """")"),"6")</f>
        <v>6</v>
      </c>
      <c r="K443" s="5" t="str">
        <f>IFERROR(__xludf.DUMMYFUNCTION("IF(X443&lt;&gt;"""", GOOGLETRANSLATE(X443, ""RO"", ""EN""), """")"),"7")</f>
        <v>7</v>
      </c>
      <c r="L443" s="5" t="str">
        <f>IFERROR(__xludf.DUMMYFUNCTION("IF(S443&lt;&gt;"""", GOOGLETRANSLATE(S443, ""RO"", ""EN""), """")"),"8")</f>
        <v>8</v>
      </c>
      <c r="M443" s="5" t="str">
        <f>IFERROR(__xludf.DUMMYFUNCTION("IF(T443&lt;&gt;"""", GOOGLETRANSLATE(T443, ""RO"", ""EN""), """")"),"9")</f>
        <v>9</v>
      </c>
      <c r="N443" s="5" t="str">
        <f>IFERROR(__xludf.DUMMYFUNCTION("IF(Y443&lt;&gt;"""", GOOGLETRANSLATE(Y443, ""RO"", ""EN""), """")"),"I really like")</f>
        <v>I really like</v>
      </c>
      <c r="O443" s="4" t="s">
        <v>313</v>
      </c>
      <c r="P443" s="4" t="s">
        <v>168</v>
      </c>
      <c r="Q443" s="4" t="s">
        <v>169</v>
      </c>
      <c r="R443" s="4" t="s">
        <v>170</v>
      </c>
      <c r="S443" s="4" t="s">
        <v>171</v>
      </c>
      <c r="T443" s="4" t="s">
        <v>172</v>
      </c>
      <c r="U443" s="4" t="s">
        <v>173</v>
      </c>
      <c r="V443" s="4" t="s">
        <v>174</v>
      </c>
      <c r="W443" s="4" t="s">
        <v>175</v>
      </c>
      <c r="X443" s="4" t="s">
        <v>176</v>
      </c>
      <c r="Y443" s="4" t="s">
        <v>314</v>
      </c>
      <c r="Z443" s="4" t="s">
        <v>1349</v>
      </c>
      <c r="AA443" s="4" t="s">
        <v>1350</v>
      </c>
      <c r="AB443" s="4" t="s">
        <v>104</v>
      </c>
    </row>
    <row r="444" ht="15.75" customHeight="1">
      <c r="A444" s="4" t="s">
        <v>1357</v>
      </c>
      <c r="B444" s="4" t="s">
        <v>1358</v>
      </c>
      <c r="C444" s="4" t="str">
        <f>IFERROR(__xludf.DUMMYFUNCTION("GOOGLETRANSLATE(B444, ""RO"", ""EN"")"),"But what do you think about the main candidates in the presidential elections/party leaders? I will read one by one their name, with the request to place them on a scale from 0 to 10, where 0 means that candidate will not like it at all, and 10 that you l"&amp;"ike")</f>
        <v>But what do you think about the main candidates in the presidential elections/party leaders? I will read one by one their name, with the request to place them on a scale from 0 to 10, where 0 means that candidate will not like it at all, and 10 that you like</v>
      </c>
      <c r="D444" s="5" t="str">
        <f>IFERROR(__xludf.DUMMYFUNCTION("IF(O444&lt;&gt;"""", GOOGLETRANSLATE(O444, ""RO"", ""EN""), """")"),"I do not like it at all")</f>
        <v>I do not like it at all</v>
      </c>
      <c r="E444" s="6" t="str">
        <f>IFERROR(__xludf.DUMMYFUNCTION("IF(P444&lt;&gt;"""", GOOGLETRANSLATE(P444, ""RO"", ""EN""), """")"),"1")</f>
        <v>1</v>
      </c>
      <c r="F444" s="5" t="str">
        <f>IFERROR(__xludf.DUMMYFUNCTION("IF(Q444&lt;&gt;"""", GOOGLETRANSLATE(Q444, ""RO"", ""EN""), """")"),"2")</f>
        <v>2</v>
      </c>
      <c r="G444" s="5" t="str">
        <f>IFERROR(__xludf.DUMMYFUNCTION("IF(R444&lt;&gt;"""", GOOGLETRANSLATE(R444, ""RO"", ""EN""), """")"),"3")</f>
        <v>3</v>
      </c>
      <c r="H444" s="5" t="str">
        <f>IFERROR(__xludf.DUMMYFUNCTION("IF(U444&lt;&gt;"""", GOOGLETRANSLATE(U444, ""RO"", ""EN""), """")"),"4")</f>
        <v>4</v>
      </c>
      <c r="I444" s="5" t="str">
        <f>IFERROR(__xludf.DUMMYFUNCTION("IF(V444&lt;&gt;"""", GOOGLETRANSLATE(V444, ""RO"", ""EN""), """")"),"5")</f>
        <v>5</v>
      </c>
      <c r="J444" s="5" t="str">
        <f>IFERROR(__xludf.DUMMYFUNCTION("IF(W444&lt;&gt;"""", GOOGLETRANSLATE(W444, ""RO"", ""EN""), """")"),"6")</f>
        <v>6</v>
      </c>
      <c r="K444" s="5" t="str">
        <f>IFERROR(__xludf.DUMMYFUNCTION("IF(X444&lt;&gt;"""", GOOGLETRANSLATE(X444, ""RO"", ""EN""), """")"),"7")</f>
        <v>7</v>
      </c>
      <c r="L444" s="5" t="str">
        <f>IFERROR(__xludf.DUMMYFUNCTION("IF(S444&lt;&gt;"""", GOOGLETRANSLATE(S444, ""RO"", ""EN""), """")"),"8")</f>
        <v>8</v>
      </c>
      <c r="M444" s="5" t="str">
        <f>IFERROR(__xludf.DUMMYFUNCTION("IF(T444&lt;&gt;"""", GOOGLETRANSLATE(T444, ""RO"", ""EN""), """")"),"9")</f>
        <v>9</v>
      </c>
      <c r="N444" s="5" t="str">
        <f>IFERROR(__xludf.DUMMYFUNCTION("IF(Y444&lt;&gt;"""", GOOGLETRANSLATE(Y444, ""RO"", ""EN""), """")"),"I really like")</f>
        <v>I really like</v>
      </c>
      <c r="O444" s="4" t="s">
        <v>313</v>
      </c>
      <c r="P444" s="4" t="s">
        <v>168</v>
      </c>
      <c r="Q444" s="4" t="s">
        <v>169</v>
      </c>
      <c r="R444" s="4" t="s">
        <v>170</v>
      </c>
      <c r="S444" s="4" t="s">
        <v>171</v>
      </c>
      <c r="T444" s="4" t="s">
        <v>172</v>
      </c>
      <c r="U444" s="4" t="s">
        <v>173</v>
      </c>
      <c r="V444" s="4" t="s">
        <v>174</v>
      </c>
      <c r="W444" s="4" t="s">
        <v>175</v>
      </c>
      <c r="X444" s="4" t="s">
        <v>176</v>
      </c>
      <c r="Y444" s="4" t="s">
        <v>314</v>
      </c>
      <c r="Z444" s="4" t="s">
        <v>1349</v>
      </c>
      <c r="AA444" s="4" t="s">
        <v>1350</v>
      </c>
      <c r="AB444" s="4" t="s">
        <v>104</v>
      </c>
    </row>
    <row r="445" ht="15.75" customHeight="1">
      <c r="A445" s="4" t="s">
        <v>1359</v>
      </c>
      <c r="B445" s="4" t="s">
        <v>220</v>
      </c>
      <c r="C445" s="4" t="str">
        <f>IFERROR(__xludf.DUMMYFUNCTION("GOOGLETRANSLATE(B445, ""RO"", ""EN"")"),"Crin Antonescu")</f>
        <v>Crin Antonescu</v>
      </c>
      <c r="D445" s="5" t="str">
        <f>IFERROR(__xludf.DUMMYFUNCTION("IF(O445&lt;&gt;"""", GOOGLETRANSLATE(O445, ""RO"", ""EN""), """")"),"I do not like it at all")</f>
        <v>I do not like it at all</v>
      </c>
      <c r="E445" s="6" t="str">
        <f>IFERROR(__xludf.DUMMYFUNCTION("IF(P445&lt;&gt;"""", GOOGLETRANSLATE(P445, ""RO"", ""EN""), """")"),"1")</f>
        <v>1</v>
      </c>
      <c r="F445" s="5" t="str">
        <f>IFERROR(__xludf.DUMMYFUNCTION("IF(Q445&lt;&gt;"""", GOOGLETRANSLATE(Q445, ""RO"", ""EN""), """")"),"2")</f>
        <v>2</v>
      </c>
      <c r="G445" s="5" t="str">
        <f>IFERROR(__xludf.DUMMYFUNCTION("IF(R445&lt;&gt;"""", GOOGLETRANSLATE(R445, ""RO"", ""EN""), """")"),"3")</f>
        <v>3</v>
      </c>
      <c r="H445" s="5" t="str">
        <f>IFERROR(__xludf.DUMMYFUNCTION("IF(U445&lt;&gt;"""", GOOGLETRANSLATE(U445, ""RO"", ""EN""), """")"),"4")</f>
        <v>4</v>
      </c>
      <c r="I445" s="5" t="str">
        <f>IFERROR(__xludf.DUMMYFUNCTION("IF(V445&lt;&gt;"""", GOOGLETRANSLATE(V445, ""RO"", ""EN""), """")"),"5")</f>
        <v>5</v>
      </c>
      <c r="J445" s="5" t="str">
        <f>IFERROR(__xludf.DUMMYFUNCTION("IF(W445&lt;&gt;"""", GOOGLETRANSLATE(W445, ""RO"", ""EN""), """")"),"6")</f>
        <v>6</v>
      </c>
      <c r="K445" s="5" t="str">
        <f>IFERROR(__xludf.DUMMYFUNCTION("IF(X445&lt;&gt;"""", GOOGLETRANSLATE(X445, ""RO"", ""EN""), """")"),"7")</f>
        <v>7</v>
      </c>
      <c r="L445" s="5" t="str">
        <f>IFERROR(__xludf.DUMMYFUNCTION("IF(S445&lt;&gt;"""", GOOGLETRANSLATE(S445, ""RO"", ""EN""), """")"),"8")</f>
        <v>8</v>
      </c>
      <c r="M445" s="5" t="str">
        <f>IFERROR(__xludf.DUMMYFUNCTION("IF(T445&lt;&gt;"""", GOOGLETRANSLATE(T445, ""RO"", ""EN""), """")"),"9")</f>
        <v>9</v>
      </c>
      <c r="N445" s="5" t="str">
        <f>IFERROR(__xludf.DUMMYFUNCTION("IF(Y445&lt;&gt;"""", GOOGLETRANSLATE(Y445, ""RO"", ""EN""), """")"),"I really like")</f>
        <v>I really like</v>
      </c>
      <c r="O445" s="4" t="s">
        <v>313</v>
      </c>
      <c r="P445" s="4" t="s">
        <v>168</v>
      </c>
      <c r="Q445" s="4" t="s">
        <v>169</v>
      </c>
      <c r="R445" s="4" t="s">
        <v>170</v>
      </c>
      <c r="S445" s="4" t="s">
        <v>171</v>
      </c>
      <c r="T445" s="4" t="s">
        <v>172</v>
      </c>
      <c r="U445" s="4" t="s">
        <v>173</v>
      </c>
      <c r="V445" s="4" t="s">
        <v>174</v>
      </c>
      <c r="W445" s="4" t="s">
        <v>175</v>
      </c>
      <c r="X445" s="4" t="s">
        <v>176</v>
      </c>
      <c r="Y445" s="4" t="s">
        <v>314</v>
      </c>
      <c r="Z445" s="4" t="s">
        <v>1349</v>
      </c>
      <c r="AA445" s="4" t="s">
        <v>1350</v>
      </c>
      <c r="AB445" s="4" t="s">
        <v>104</v>
      </c>
    </row>
    <row r="446" ht="15.75" customHeight="1">
      <c r="A446" s="4" t="s">
        <v>1360</v>
      </c>
      <c r="B446" s="4" t="s">
        <v>221</v>
      </c>
      <c r="C446" s="4" t="str">
        <f>IFERROR(__xludf.DUMMYFUNCTION("GOOGLETRANSLATE(B446, ""RO"", ""EN"")"),"Traian Basescu")</f>
        <v>Traian Basescu</v>
      </c>
      <c r="D446" s="5" t="str">
        <f>IFERROR(__xludf.DUMMYFUNCTION("IF(O446&lt;&gt;"""", GOOGLETRANSLATE(O446, ""RO"", ""EN""), """")"),"I do not like it at all")</f>
        <v>I do not like it at all</v>
      </c>
      <c r="E446" s="6" t="str">
        <f>IFERROR(__xludf.DUMMYFUNCTION("IF(P446&lt;&gt;"""", GOOGLETRANSLATE(P446, ""RO"", ""EN""), """")"),"1")</f>
        <v>1</v>
      </c>
      <c r="F446" s="5" t="str">
        <f>IFERROR(__xludf.DUMMYFUNCTION("IF(Q446&lt;&gt;"""", GOOGLETRANSLATE(Q446, ""RO"", ""EN""), """")"),"2")</f>
        <v>2</v>
      </c>
      <c r="G446" s="5" t="str">
        <f>IFERROR(__xludf.DUMMYFUNCTION("IF(R446&lt;&gt;"""", GOOGLETRANSLATE(R446, ""RO"", ""EN""), """")"),"3")</f>
        <v>3</v>
      </c>
      <c r="H446" s="5" t="str">
        <f>IFERROR(__xludf.DUMMYFUNCTION("IF(U446&lt;&gt;"""", GOOGLETRANSLATE(U446, ""RO"", ""EN""), """")"),"4")</f>
        <v>4</v>
      </c>
      <c r="I446" s="5" t="str">
        <f>IFERROR(__xludf.DUMMYFUNCTION("IF(V446&lt;&gt;"""", GOOGLETRANSLATE(V446, ""RO"", ""EN""), """")"),"5")</f>
        <v>5</v>
      </c>
      <c r="J446" s="5" t="str">
        <f>IFERROR(__xludf.DUMMYFUNCTION("IF(W446&lt;&gt;"""", GOOGLETRANSLATE(W446, ""RO"", ""EN""), """")"),"6")</f>
        <v>6</v>
      </c>
      <c r="K446" s="5" t="str">
        <f>IFERROR(__xludf.DUMMYFUNCTION("IF(X446&lt;&gt;"""", GOOGLETRANSLATE(X446, ""RO"", ""EN""), """")"),"7")</f>
        <v>7</v>
      </c>
      <c r="L446" s="5" t="str">
        <f>IFERROR(__xludf.DUMMYFUNCTION("IF(S446&lt;&gt;"""", GOOGLETRANSLATE(S446, ""RO"", ""EN""), """")"),"8")</f>
        <v>8</v>
      </c>
      <c r="M446" s="5" t="str">
        <f>IFERROR(__xludf.DUMMYFUNCTION("IF(T446&lt;&gt;"""", GOOGLETRANSLATE(T446, ""RO"", ""EN""), """")"),"9")</f>
        <v>9</v>
      </c>
      <c r="N446" s="5" t="str">
        <f>IFERROR(__xludf.DUMMYFUNCTION("IF(Y446&lt;&gt;"""", GOOGLETRANSLATE(Y446, ""RO"", ""EN""), """")"),"I really like")</f>
        <v>I really like</v>
      </c>
      <c r="O446" s="4" t="s">
        <v>313</v>
      </c>
      <c r="P446" s="4" t="s">
        <v>168</v>
      </c>
      <c r="Q446" s="4" t="s">
        <v>169</v>
      </c>
      <c r="R446" s="4" t="s">
        <v>170</v>
      </c>
      <c r="S446" s="4" t="s">
        <v>171</v>
      </c>
      <c r="T446" s="4" t="s">
        <v>172</v>
      </c>
      <c r="U446" s="4" t="s">
        <v>173</v>
      </c>
      <c r="V446" s="4" t="s">
        <v>174</v>
      </c>
      <c r="W446" s="4" t="s">
        <v>175</v>
      </c>
      <c r="X446" s="4" t="s">
        <v>176</v>
      </c>
      <c r="Y446" s="4" t="s">
        <v>314</v>
      </c>
      <c r="Z446" s="4" t="s">
        <v>1349</v>
      </c>
      <c r="AA446" s="4" t="s">
        <v>1350</v>
      </c>
      <c r="AB446" s="4" t="s">
        <v>104</v>
      </c>
    </row>
    <row r="447" ht="15.75" customHeight="1">
      <c r="A447" s="4" t="s">
        <v>1361</v>
      </c>
      <c r="B447" s="4" t="s">
        <v>223</v>
      </c>
      <c r="C447" s="4" t="str">
        <f>IFERROR(__xludf.DUMMYFUNCTION("GOOGLETRANSLATE(B447, ""RO"", ""EN"")"),"Sorin Oprescu")</f>
        <v>Sorin Oprescu</v>
      </c>
      <c r="D447" s="5" t="str">
        <f>IFERROR(__xludf.DUMMYFUNCTION("IF(O447&lt;&gt;"""", GOOGLETRANSLATE(O447, ""RO"", ""EN""), """")"),"I do not like it at all")</f>
        <v>I do not like it at all</v>
      </c>
      <c r="E447" s="6" t="str">
        <f>IFERROR(__xludf.DUMMYFUNCTION("IF(P447&lt;&gt;"""", GOOGLETRANSLATE(P447, ""RO"", ""EN""), """")"),"1")</f>
        <v>1</v>
      </c>
      <c r="F447" s="5" t="str">
        <f>IFERROR(__xludf.DUMMYFUNCTION("IF(Q447&lt;&gt;"""", GOOGLETRANSLATE(Q447, ""RO"", ""EN""), """")"),"2")</f>
        <v>2</v>
      </c>
      <c r="G447" s="5" t="str">
        <f>IFERROR(__xludf.DUMMYFUNCTION("IF(R447&lt;&gt;"""", GOOGLETRANSLATE(R447, ""RO"", ""EN""), """")"),"3")</f>
        <v>3</v>
      </c>
      <c r="H447" s="5" t="str">
        <f>IFERROR(__xludf.DUMMYFUNCTION("IF(U447&lt;&gt;"""", GOOGLETRANSLATE(U447, ""RO"", ""EN""), """")"),"4")</f>
        <v>4</v>
      </c>
      <c r="I447" s="5" t="str">
        <f>IFERROR(__xludf.DUMMYFUNCTION("IF(V447&lt;&gt;"""", GOOGLETRANSLATE(V447, ""RO"", ""EN""), """")"),"5")</f>
        <v>5</v>
      </c>
      <c r="J447" s="5" t="str">
        <f>IFERROR(__xludf.DUMMYFUNCTION("IF(W447&lt;&gt;"""", GOOGLETRANSLATE(W447, ""RO"", ""EN""), """")"),"6")</f>
        <v>6</v>
      </c>
      <c r="K447" s="5" t="str">
        <f>IFERROR(__xludf.DUMMYFUNCTION("IF(X447&lt;&gt;"""", GOOGLETRANSLATE(X447, ""RO"", ""EN""), """")"),"7")</f>
        <v>7</v>
      </c>
      <c r="L447" s="5" t="str">
        <f>IFERROR(__xludf.DUMMYFUNCTION("IF(S447&lt;&gt;"""", GOOGLETRANSLATE(S447, ""RO"", ""EN""), """")"),"8")</f>
        <v>8</v>
      </c>
      <c r="M447" s="5" t="str">
        <f>IFERROR(__xludf.DUMMYFUNCTION("IF(T447&lt;&gt;"""", GOOGLETRANSLATE(T447, ""RO"", ""EN""), """")"),"9")</f>
        <v>9</v>
      </c>
      <c r="N447" s="5" t="str">
        <f>IFERROR(__xludf.DUMMYFUNCTION("IF(Y447&lt;&gt;"""", GOOGLETRANSLATE(Y447, ""RO"", ""EN""), """")"),"I really like")</f>
        <v>I really like</v>
      </c>
      <c r="O447" s="4" t="s">
        <v>313</v>
      </c>
      <c r="P447" s="4" t="s">
        <v>168</v>
      </c>
      <c r="Q447" s="4" t="s">
        <v>169</v>
      </c>
      <c r="R447" s="4" t="s">
        <v>170</v>
      </c>
      <c r="S447" s="4" t="s">
        <v>171</v>
      </c>
      <c r="T447" s="4" t="s">
        <v>172</v>
      </c>
      <c r="U447" s="4" t="s">
        <v>173</v>
      </c>
      <c r="V447" s="4" t="s">
        <v>174</v>
      </c>
      <c r="W447" s="4" t="s">
        <v>175</v>
      </c>
      <c r="X447" s="4" t="s">
        <v>176</v>
      </c>
      <c r="Y447" s="4" t="s">
        <v>314</v>
      </c>
      <c r="Z447" s="4" t="s">
        <v>1349</v>
      </c>
      <c r="AA447" s="4" t="s">
        <v>1350</v>
      </c>
      <c r="AB447" s="4" t="s">
        <v>104</v>
      </c>
    </row>
    <row r="448" ht="15.75" customHeight="1">
      <c r="A448" s="4" t="s">
        <v>1362</v>
      </c>
      <c r="B448" s="4" t="s">
        <v>224</v>
      </c>
      <c r="C448" s="4" t="str">
        <f>IFERROR(__xludf.DUMMYFUNCTION("GOOGLETRANSLATE(B448, ""RO"", ""EN"")"),"Corneliu Vadim Tudor")</f>
        <v>Corneliu Vadim Tudor</v>
      </c>
      <c r="D448" s="5" t="str">
        <f>IFERROR(__xludf.DUMMYFUNCTION("IF(O448&lt;&gt;"""", GOOGLETRANSLATE(O448, ""RO"", ""EN""), """")"),"I do not like it at all")</f>
        <v>I do not like it at all</v>
      </c>
      <c r="E448" s="6" t="str">
        <f>IFERROR(__xludf.DUMMYFUNCTION("IF(P448&lt;&gt;"""", GOOGLETRANSLATE(P448, ""RO"", ""EN""), """")"),"1")</f>
        <v>1</v>
      </c>
      <c r="F448" s="5" t="str">
        <f>IFERROR(__xludf.DUMMYFUNCTION("IF(Q448&lt;&gt;"""", GOOGLETRANSLATE(Q448, ""RO"", ""EN""), """")"),"2")</f>
        <v>2</v>
      </c>
      <c r="G448" s="5" t="str">
        <f>IFERROR(__xludf.DUMMYFUNCTION("IF(R448&lt;&gt;"""", GOOGLETRANSLATE(R448, ""RO"", ""EN""), """")"),"3")</f>
        <v>3</v>
      </c>
      <c r="H448" s="5" t="str">
        <f>IFERROR(__xludf.DUMMYFUNCTION("IF(U448&lt;&gt;"""", GOOGLETRANSLATE(U448, ""RO"", ""EN""), """")"),"4")</f>
        <v>4</v>
      </c>
      <c r="I448" s="5" t="str">
        <f>IFERROR(__xludf.DUMMYFUNCTION("IF(V448&lt;&gt;"""", GOOGLETRANSLATE(V448, ""RO"", ""EN""), """")"),"5")</f>
        <v>5</v>
      </c>
      <c r="J448" s="5" t="str">
        <f>IFERROR(__xludf.DUMMYFUNCTION("IF(W448&lt;&gt;"""", GOOGLETRANSLATE(W448, ""RO"", ""EN""), """")"),"6")</f>
        <v>6</v>
      </c>
      <c r="K448" s="5" t="str">
        <f>IFERROR(__xludf.DUMMYFUNCTION("IF(X448&lt;&gt;"""", GOOGLETRANSLATE(X448, ""RO"", ""EN""), """")"),"7")</f>
        <v>7</v>
      </c>
      <c r="L448" s="5" t="str">
        <f>IFERROR(__xludf.DUMMYFUNCTION("IF(S448&lt;&gt;"""", GOOGLETRANSLATE(S448, ""RO"", ""EN""), """")"),"8")</f>
        <v>8</v>
      </c>
      <c r="M448" s="5" t="str">
        <f>IFERROR(__xludf.DUMMYFUNCTION("IF(T448&lt;&gt;"""", GOOGLETRANSLATE(T448, ""RO"", ""EN""), """")"),"9")</f>
        <v>9</v>
      </c>
      <c r="N448" s="5" t="str">
        <f>IFERROR(__xludf.DUMMYFUNCTION("IF(Y448&lt;&gt;"""", GOOGLETRANSLATE(Y448, ""RO"", ""EN""), """")"),"I really like")</f>
        <v>I really like</v>
      </c>
      <c r="O448" s="4" t="s">
        <v>313</v>
      </c>
      <c r="P448" s="4" t="s">
        <v>168</v>
      </c>
      <c r="Q448" s="4" t="s">
        <v>169</v>
      </c>
      <c r="R448" s="4" t="s">
        <v>170</v>
      </c>
      <c r="S448" s="4" t="s">
        <v>171</v>
      </c>
      <c r="T448" s="4" t="s">
        <v>172</v>
      </c>
      <c r="U448" s="4" t="s">
        <v>173</v>
      </c>
      <c r="V448" s="4" t="s">
        <v>174</v>
      </c>
      <c r="W448" s="4" t="s">
        <v>175</v>
      </c>
      <c r="X448" s="4" t="s">
        <v>176</v>
      </c>
      <c r="Y448" s="4" t="s">
        <v>314</v>
      </c>
      <c r="Z448" s="4" t="s">
        <v>1349</v>
      </c>
      <c r="AA448" s="4" t="s">
        <v>1350</v>
      </c>
      <c r="AB448" s="4" t="s">
        <v>104</v>
      </c>
    </row>
    <row r="449" ht="15.75" customHeight="1">
      <c r="A449" s="4" t="s">
        <v>1363</v>
      </c>
      <c r="B449" s="4" t="s">
        <v>225</v>
      </c>
      <c r="C449" s="4" t="str">
        <f>IFERROR(__xludf.DUMMYFUNCTION("GOOGLETRANSLATE(B449, ""RO"", ""EN"")"),"Kelemen Hunor")</f>
        <v>Kelemen Hunor</v>
      </c>
      <c r="D449" s="5" t="str">
        <f>IFERROR(__xludf.DUMMYFUNCTION("IF(O449&lt;&gt;"""", GOOGLETRANSLATE(O449, ""RO"", ""EN""), """")"),"I do not like it at all")</f>
        <v>I do not like it at all</v>
      </c>
      <c r="E449" s="6" t="str">
        <f>IFERROR(__xludf.DUMMYFUNCTION("IF(P449&lt;&gt;"""", GOOGLETRANSLATE(P449, ""RO"", ""EN""), """")"),"1")</f>
        <v>1</v>
      </c>
      <c r="F449" s="5" t="str">
        <f>IFERROR(__xludf.DUMMYFUNCTION("IF(Q449&lt;&gt;"""", GOOGLETRANSLATE(Q449, ""RO"", ""EN""), """")"),"2")</f>
        <v>2</v>
      </c>
      <c r="G449" s="5" t="str">
        <f>IFERROR(__xludf.DUMMYFUNCTION("IF(R449&lt;&gt;"""", GOOGLETRANSLATE(R449, ""RO"", ""EN""), """")"),"3")</f>
        <v>3</v>
      </c>
      <c r="H449" s="5" t="str">
        <f>IFERROR(__xludf.DUMMYFUNCTION("IF(U449&lt;&gt;"""", GOOGLETRANSLATE(U449, ""RO"", ""EN""), """")"),"4")</f>
        <v>4</v>
      </c>
      <c r="I449" s="5" t="str">
        <f>IFERROR(__xludf.DUMMYFUNCTION("IF(V449&lt;&gt;"""", GOOGLETRANSLATE(V449, ""RO"", ""EN""), """")"),"5")</f>
        <v>5</v>
      </c>
      <c r="J449" s="5" t="str">
        <f>IFERROR(__xludf.DUMMYFUNCTION("IF(W449&lt;&gt;"""", GOOGLETRANSLATE(W449, ""RO"", ""EN""), """")"),"6")</f>
        <v>6</v>
      </c>
      <c r="K449" s="5" t="str">
        <f>IFERROR(__xludf.DUMMYFUNCTION("IF(X449&lt;&gt;"""", GOOGLETRANSLATE(X449, ""RO"", ""EN""), """")"),"7")</f>
        <v>7</v>
      </c>
      <c r="L449" s="5" t="str">
        <f>IFERROR(__xludf.DUMMYFUNCTION("IF(S449&lt;&gt;"""", GOOGLETRANSLATE(S449, ""RO"", ""EN""), """")"),"8")</f>
        <v>8</v>
      </c>
      <c r="M449" s="5" t="str">
        <f>IFERROR(__xludf.DUMMYFUNCTION("IF(T449&lt;&gt;"""", GOOGLETRANSLATE(T449, ""RO"", ""EN""), """")"),"9")</f>
        <v>9</v>
      </c>
      <c r="N449" s="5" t="str">
        <f>IFERROR(__xludf.DUMMYFUNCTION("IF(Y449&lt;&gt;"""", GOOGLETRANSLATE(Y449, ""RO"", ""EN""), """")"),"I really like")</f>
        <v>I really like</v>
      </c>
      <c r="O449" s="4" t="s">
        <v>313</v>
      </c>
      <c r="P449" s="4" t="s">
        <v>168</v>
      </c>
      <c r="Q449" s="4" t="s">
        <v>169</v>
      </c>
      <c r="R449" s="4" t="s">
        <v>170</v>
      </c>
      <c r="S449" s="4" t="s">
        <v>171</v>
      </c>
      <c r="T449" s="4" t="s">
        <v>172</v>
      </c>
      <c r="U449" s="4" t="s">
        <v>173</v>
      </c>
      <c r="V449" s="4" t="s">
        <v>174</v>
      </c>
      <c r="W449" s="4" t="s">
        <v>175</v>
      </c>
      <c r="X449" s="4" t="s">
        <v>176</v>
      </c>
      <c r="Y449" s="4" t="s">
        <v>314</v>
      </c>
      <c r="Z449" s="4" t="s">
        <v>1349</v>
      </c>
      <c r="AA449" s="4" t="s">
        <v>1350</v>
      </c>
      <c r="AB449" s="4" t="s">
        <v>104</v>
      </c>
    </row>
    <row r="450" ht="15.75" customHeight="1">
      <c r="A450" s="4" t="s">
        <v>1364</v>
      </c>
      <c r="B450" s="4" t="s">
        <v>226</v>
      </c>
      <c r="C450" s="4" t="str">
        <f>IFERROR(__xludf.DUMMYFUNCTION("GOOGLETRANSLATE(B450, ""RO"", ""EN"")"),"George Becali")</f>
        <v>George Becali</v>
      </c>
      <c r="D450" s="5" t="str">
        <f>IFERROR(__xludf.DUMMYFUNCTION("IF(O450&lt;&gt;"""", GOOGLETRANSLATE(O450, ""RO"", ""EN""), """")"),"I do not like it at all")</f>
        <v>I do not like it at all</v>
      </c>
      <c r="E450" s="6" t="str">
        <f>IFERROR(__xludf.DUMMYFUNCTION("IF(P450&lt;&gt;"""", GOOGLETRANSLATE(P450, ""RO"", ""EN""), """")"),"1")</f>
        <v>1</v>
      </c>
      <c r="F450" s="5" t="str">
        <f>IFERROR(__xludf.DUMMYFUNCTION("IF(Q450&lt;&gt;"""", GOOGLETRANSLATE(Q450, ""RO"", ""EN""), """")"),"2")</f>
        <v>2</v>
      </c>
      <c r="G450" s="5" t="str">
        <f>IFERROR(__xludf.DUMMYFUNCTION("IF(R450&lt;&gt;"""", GOOGLETRANSLATE(R450, ""RO"", ""EN""), """")"),"3")</f>
        <v>3</v>
      </c>
      <c r="H450" s="5" t="str">
        <f>IFERROR(__xludf.DUMMYFUNCTION("IF(U450&lt;&gt;"""", GOOGLETRANSLATE(U450, ""RO"", ""EN""), """")"),"4")</f>
        <v>4</v>
      </c>
      <c r="I450" s="5" t="str">
        <f>IFERROR(__xludf.DUMMYFUNCTION("IF(V450&lt;&gt;"""", GOOGLETRANSLATE(V450, ""RO"", ""EN""), """")"),"5")</f>
        <v>5</v>
      </c>
      <c r="J450" s="5" t="str">
        <f>IFERROR(__xludf.DUMMYFUNCTION("IF(W450&lt;&gt;"""", GOOGLETRANSLATE(W450, ""RO"", ""EN""), """")"),"6")</f>
        <v>6</v>
      </c>
      <c r="K450" s="5" t="str">
        <f>IFERROR(__xludf.DUMMYFUNCTION("IF(X450&lt;&gt;"""", GOOGLETRANSLATE(X450, ""RO"", ""EN""), """")"),"7")</f>
        <v>7</v>
      </c>
      <c r="L450" s="5" t="str">
        <f>IFERROR(__xludf.DUMMYFUNCTION("IF(S450&lt;&gt;"""", GOOGLETRANSLATE(S450, ""RO"", ""EN""), """")"),"8")</f>
        <v>8</v>
      </c>
      <c r="M450" s="5" t="str">
        <f>IFERROR(__xludf.DUMMYFUNCTION("IF(T450&lt;&gt;"""", GOOGLETRANSLATE(T450, ""RO"", ""EN""), """")"),"9")</f>
        <v>9</v>
      </c>
      <c r="N450" s="5" t="str">
        <f>IFERROR(__xludf.DUMMYFUNCTION("IF(Y450&lt;&gt;"""", GOOGLETRANSLATE(Y450, ""RO"", ""EN""), """")"),"I really like")</f>
        <v>I really like</v>
      </c>
      <c r="O450" s="4" t="s">
        <v>313</v>
      </c>
      <c r="P450" s="4" t="s">
        <v>168</v>
      </c>
      <c r="Q450" s="4" t="s">
        <v>169</v>
      </c>
      <c r="R450" s="4" t="s">
        <v>170</v>
      </c>
      <c r="S450" s="4" t="s">
        <v>171</v>
      </c>
      <c r="T450" s="4" t="s">
        <v>172</v>
      </c>
      <c r="U450" s="4" t="s">
        <v>173</v>
      </c>
      <c r="V450" s="4" t="s">
        <v>174</v>
      </c>
      <c r="W450" s="4" t="s">
        <v>175</v>
      </c>
      <c r="X450" s="4" t="s">
        <v>176</v>
      </c>
      <c r="Y450" s="4" t="s">
        <v>314</v>
      </c>
      <c r="Z450" s="4" t="s">
        <v>1349</v>
      </c>
      <c r="AA450" s="4" t="s">
        <v>1350</v>
      </c>
      <c r="AB450" s="4" t="s">
        <v>104</v>
      </c>
    </row>
    <row r="451" ht="15.75" customHeight="1">
      <c r="A451" s="4" t="s">
        <v>1365</v>
      </c>
      <c r="B451" s="4" t="s">
        <v>1366</v>
      </c>
      <c r="C451" s="4" t="str">
        <f>IFERROR(__xludf.DUMMYFUNCTION("GOOGLETRANSLATE(B451, ""RO"", ""EN"")"),"In politics there is sometimes about the left and the right. Where did you place ... (party) ... on a scale from 0 to 10, where does 0 mean left and 10 means right? Using the same scale, where would you place ...? PSD")</f>
        <v>In politics there is sometimes about the left and the right. Where did you place ... (party) ... on a scale from 0 to 10, where does 0 mean left and 10 means right? Using the same scale, where would you place ...? PSD</v>
      </c>
      <c r="D451" s="5" t="str">
        <f>IFERROR(__xludf.DUMMYFUNCTION("IF(O451&lt;&gt;"""", GOOGLETRANSLATE(O451, ""RO"", ""EN""), """")"),"Left")</f>
        <v>Left</v>
      </c>
      <c r="E451" s="6" t="str">
        <f>IFERROR(__xludf.DUMMYFUNCTION("IF(P451&lt;&gt;"""", GOOGLETRANSLATE(P451, ""RO"", ""EN""), """")"),"1")</f>
        <v>1</v>
      </c>
      <c r="F451" s="5" t="str">
        <f>IFERROR(__xludf.DUMMYFUNCTION("IF(Q451&lt;&gt;"""", GOOGLETRANSLATE(Q451, ""RO"", ""EN""), """")"),"2")</f>
        <v>2</v>
      </c>
      <c r="G451" s="5" t="str">
        <f>IFERROR(__xludf.DUMMYFUNCTION("IF(R451&lt;&gt;"""", GOOGLETRANSLATE(R451, ""RO"", ""EN""), """")"),"3")</f>
        <v>3</v>
      </c>
      <c r="H451" s="5" t="str">
        <f>IFERROR(__xludf.DUMMYFUNCTION("IF(U451&lt;&gt;"""", GOOGLETRANSLATE(U451, ""RO"", ""EN""), """")"),"4")</f>
        <v>4</v>
      </c>
      <c r="I451" s="5" t="str">
        <f>IFERROR(__xludf.DUMMYFUNCTION("IF(V451&lt;&gt;"""", GOOGLETRANSLATE(V451, ""RO"", ""EN""), """")"),"5")</f>
        <v>5</v>
      </c>
      <c r="J451" s="5" t="str">
        <f>IFERROR(__xludf.DUMMYFUNCTION("IF(W451&lt;&gt;"""", GOOGLETRANSLATE(W451, ""RO"", ""EN""), """")"),"6")</f>
        <v>6</v>
      </c>
      <c r="K451" s="5" t="str">
        <f>IFERROR(__xludf.DUMMYFUNCTION("IF(X451&lt;&gt;"""", GOOGLETRANSLATE(X451, ""RO"", ""EN""), """")"),"7")</f>
        <v>7</v>
      </c>
      <c r="L451" s="5" t="str">
        <f>IFERROR(__xludf.DUMMYFUNCTION("IF(S451&lt;&gt;"""", GOOGLETRANSLATE(S451, ""RO"", ""EN""), """")"),"8")</f>
        <v>8</v>
      </c>
      <c r="M451" s="5" t="str">
        <f>IFERROR(__xludf.DUMMYFUNCTION("IF(T451&lt;&gt;"""", GOOGLETRANSLATE(T451, ""RO"", ""EN""), """")"),"9")</f>
        <v>9</v>
      </c>
      <c r="N451" s="5" t="str">
        <f>IFERROR(__xludf.DUMMYFUNCTION("IF(Y451&lt;&gt;"""", GOOGLETRANSLATE(Y451, ""RO"", ""EN""), """")"),"Right")</f>
        <v>Right</v>
      </c>
      <c r="O451" s="4" t="s">
        <v>714</v>
      </c>
      <c r="P451" s="4" t="s">
        <v>168</v>
      </c>
      <c r="Q451" s="4" t="s">
        <v>169</v>
      </c>
      <c r="R451" s="4" t="s">
        <v>170</v>
      </c>
      <c r="S451" s="4" t="s">
        <v>171</v>
      </c>
      <c r="T451" s="4" t="s">
        <v>172</v>
      </c>
      <c r="U451" s="4" t="s">
        <v>173</v>
      </c>
      <c r="V451" s="4" t="s">
        <v>174</v>
      </c>
      <c r="W451" s="4" t="s">
        <v>175</v>
      </c>
      <c r="X451" s="4" t="s">
        <v>176</v>
      </c>
      <c r="Y451" s="4" t="s">
        <v>715</v>
      </c>
      <c r="Z451" s="4" t="s">
        <v>1367</v>
      </c>
      <c r="AA451" s="4" t="s">
        <v>1368</v>
      </c>
      <c r="AB451" s="4" t="s">
        <v>104</v>
      </c>
      <c r="AD451" s="4" t="s">
        <v>1369</v>
      </c>
    </row>
    <row r="452" ht="15.75" customHeight="1">
      <c r="A452" s="4" t="s">
        <v>1370</v>
      </c>
      <c r="B452" s="4" t="s">
        <v>1248</v>
      </c>
      <c r="C452" s="4" t="str">
        <f>IFERROR(__xludf.DUMMYFUNCTION("GOOGLETRANSLATE(B452, ""RO"", ""EN"")"),"PNL")</f>
        <v>PNL</v>
      </c>
      <c r="D452" s="5" t="str">
        <f>IFERROR(__xludf.DUMMYFUNCTION("IF(O452&lt;&gt;"""", GOOGLETRANSLATE(O452, ""RO"", ""EN""), """")"),"Left")</f>
        <v>Left</v>
      </c>
      <c r="E452" s="6" t="str">
        <f>IFERROR(__xludf.DUMMYFUNCTION("IF(P452&lt;&gt;"""", GOOGLETRANSLATE(P452, ""RO"", ""EN""), """")"),"1")</f>
        <v>1</v>
      </c>
      <c r="F452" s="5" t="str">
        <f>IFERROR(__xludf.DUMMYFUNCTION("IF(Q452&lt;&gt;"""", GOOGLETRANSLATE(Q452, ""RO"", ""EN""), """")"),"2")</f>
        <v>2</v>
      </c>
      <c r="G452" s="5" t="str">
        <f>IFERROR(__xludf.DUMMYFUNCTION("IF(R452&lt;&gt;"""", GOOGLETRANSLATE(R452, ""RO"", ""EN""), """")"),"3")</f>
        <v>3</v>
      </c>
      <c r="H452" s="5" t="str">
        <f>IFERROR(__xludf.DUMMYFUNCTION("IF(U452&lt;&gt;"""", GOOGLETRANSLATE(U452, ""RO"", ""EN""), """")"),"4")</f>
        <v>4</v>
      </c>
      <c r="I452" s="5" t="str">
        <f>IFERROR(__xludf.DUMMYFUNCTION("IF(V452&lt;&gt;"""", GOOGLETRANSLATE(V452, ""RO"", ""EN""), """")"),"5")</f>
        <v>5</v>
      </c>
      <c r="J452" s="5" t="str">
        <f>IFERROR(__xludf.DUMMYFUNCTION("IF(W452&lt;&gt;"""", GOOGLETRANSLATE(W452, ""RO"", ""EN""), """")"),"6")</f>
        <v>6</v>
      </c>
      <c r="K452" s="5" t="str">
        <f>IFERROR(__xludf.DUMMYFUNCTION("IF(X452&lt;&gt;"""", GOOGLETRANSLATE(X452, ""RO"", ""EN""), """")"),"7")</f>
        <v>7</v>
      </c>
      <c r="L452" s="5" t="str">
        <f>IFERROR(__xludf.DUMMYFUNCTION("IF(S452&lt;&gt;"""", GOOGLETRANSLATE(S452, ""RO"", ""EN""), """")"),"8")</f>
        <v>8</v>
      </c>
      <c r="M452" s="5" t="str">
        <f>IFERROR(__xludf.DUMMYFUNCTION("IF(T452&lt;&gt;"""", GOOGLETRANSLATE(T452, ""RO"", ""EN""), """")"),"9")</f>
        <v>9</v>
      </c>
      <c r="N452" s="5" t="str">
        <f>IFERROR(__xludf.DUMMYFUNCTION("IF(Y452&lt;&gt;"""", GOOGLETRANSLATE(Y452, ""RO"", ""EN""), """")"),"Right")</f>
        <v>Right</v>
      </c>
      <c r="O452" s="4" t="s">
        <v>714</v>
      </c>
      <c r="P452" s="4" t="s">
        <v>168</v>
      </c>
      <c r="Q452" s="4" t="s">
        <v>169</v>
      </c>
      <c r="R452" s="4" t="s">
        <v>170</v>
      </c>
      <c r="S452" s="4" t="s">
        <v>171</v>
      </c>
      <c r="T452" s="4" t="s">
        <v>172</v>
      </c>
      <c r="U452" s="4" t="s">
        <v>173</v>
      </c>
      <c r="V452" s="4" t="s">
        <v>174</v>
      </c>
      <c r="W452" s="4" t="s">
        <v>175</v>
      </c>
      <c r="X452" s="4" t="s">
        <v>176</v>
      </c>
      <c r="Y452" s="4" t="s">
        <v>715</v>
      </c>
      <c r="Z452" s="4" t="s">
        <v>1367</v>
      </c>
      <c r="AA452" s="4" t="s">
        <v>1368</v>
      </c>
      <c r="AB452" s="4" t="s">
        <v>104</v>
      </c>
      <c r="AD452" s="4" t="s">
        <v>1369</v>
      </c>
    </row>
    <row r="453" ht="15.75" customHeight="1">
      <c r="A453" s="4" t="s">
        <v>1371</v>
      </c>
      <c r="B453" s="4" t="s">
        <v>1246</v>
      </c>
      <c r="C453" s="4" t="str">
        <f>IFERROR(__xludf.DUMMYFUNCTION("GOOGLETRANSLATE(B453, ""RO"", ""EN"")"),"Pdl")</f>
        <v>Pdl</v>
      </c>
      <c r="D453" s="5" t="str">
        <f>IFERROR(__xludf.DUMMYFUNCTION("IF(O453&lt;&gt;"""", GOOGLETRANSLATE(O453, ""RO"", ""EN""), """")"),"Left")</f>
        <v>Left</v>
      </c>
      <c r="E453" s="6" t="str">
        <f>IFERROR(__xludf.DUMMYFUNCTION("IF(P453&lt;&gt;"""", GOOGLETRANSLATE(P453, ""RO"", ""EN""), """")"),"1")</f>
        <v>1</v>
      </c>
      <c r="F453" s="5" t="str">
        <f>IFERROR(__xludf.DUMMYFUNCTION("IF(Q453&lt;&gt;"""", GOOGLETRANSLATE(Q453, ""RO"", ""EN""), """")"),"2")</f>
        <v>2</v>
      </c>
      <c r="G453" s="5" t="str">
        <f>IFERROR(__xludf.DUMMYFUNCTION("IF(R453&lt;&gt;"""", GOOGLETRANSLATE(R453, ""RO"", ""EN""), """")"),"3")</f>
        <v>3</v>
      </c>
      <c r="H453" s="5" t="str">
        <f>IFERROR(__xludf.DUMMYFUNCTION("IF(U453&lt;&gt;"""", GOOGLETRANSLATE(U453, ""RO"", ""EN""), """")"),"4")</f>
        <v>4</v>
      </c>
      <c r="I453" s="5" t="str">
        <f>IFERROR(__xludf.DUMMYFUNCTION("IF(V453&lt;&gt;"""", GOOGLETRANSLATE(V453, ""RO"", ""EN""), """")"),"5")</f>
        <v>5</v>
      </c>
      <c r="J453" s="5" t="str">
        <f>IFERROR(__xludf.DUMMYFUNCTION("IF(W453&lt;&gt;"""", GOOGLETRANSLATE(W453, ""RO"", ""EN""), """")"),"6")</f>
        <v>6</v>
      </c>
      <c r="K453" s="5" t="str">
        <f>IFERROR(__xludf.DUMMYFUNCTION("IF(X453&lt;&gt;"""", GOOGLETRANSLATE(X453, ""RO"", ""EN""), """")"),"7")</f>
        <v>7</v>
      </c>
      <c r="L453" s="5" t="str">
        <f>IFERROR(__xludf.DUMMYFUNCTION("IF(S453&lt;&gt;"""", GOOGLETRANSLATE(S453, ""RO"", ""EN""), """")"),"8")</f>
        <v>8</v>
      </c>
      <c r="M453" s="5" t="str">
        <f>IFERROR(__xludf.DUMMYFUNCTION("IF(T453&lt;&gt;"""", GOOGLETRANSLATE(T453, ""RO"", ""EN""), """")"),"9")</f>
        <v>9</v>
      </c>
      <c r="N453" s="5" t="str">
        <f>IFERROR(__xludf.DUMMYFUNCTION("IF(Y453&lt;&gt;"""", GOOGLETRANSLATE(Y453, ""RO"", ""EN""), """")"),"Right")</f>
        <v>Right</v>
      </c>
      <c r="O453" s="4" t="s">
        <v>714</v>
      </c>
      <c r="P453" s="4" t="s">
        <v>168</v>
      </c>
      <c r="Q453" s="4" t="s">
        <v>169</v>
      </c>
      <c r="R453" s="4" t="s">
        <v>170</v>
      </c>
      <c r="S453" s="4" t="s">
        <v>171</v>
      </c>
      <c r="T453" s="4" t="s">
        <v>172</v>
      </c>
      <c r="U453" s="4" t="s">
        <v>173</v>
      </c>
      <c r="V453" s="4" t="s">
        <v>174</v>
      </c>
      <c r="W453" s="4" t="s">
        <v>175</v>
      </c>
      <c r="X453" s="4" t="s">
        <v>176</v>
      </c>
      <c r="Y453" s="4" t="s">
        <v>715</v>
      </c>
      <c r="Z453" s="4" t="s">
        <v>1367</v>
      </c>
      <c r="AA453" s="4" t="s">
        <v>1368</v>
      </c>
      <c r="AB453" s="4" t="s">
        <v>104</v>
      </c>
      <c r="AD453" s="4" t="s">
        <v>1369</v>
      </c>
    </row>
    <row r="454" ht="15.75" customHeight="1">
      <c r="A454" s="4" t="s">
        <v>1372</v>
      </c>
      <c r="B454" s="4" t="s">
        <v>1250</v>
      </c>
      <c r="C454" s="4" t="str">
        <f>IFERROR(__xludf.DUMMYFUNCTION("GOOGLETRANSLATE(B454, ""RO"", ""EN"")"),"Udmr")</f>
        <v>Udmr</v>
      </c>
      <c r="D454" s="5" t="str">
        <f>IFERROR(__xludf.DUMMYFUNCTION("IF(O454&lt;&gt;"""", GOOGLETRANSLATE(O454, ""RO"", ""EN""), """")"),"Left")</f>
        <v>Left</v>
      </c>
      <c r="E454" s="6" t="str">
        <f>IFERROR(__xludf.DUMMYFUNCTION("IF(P454&lt;&gt;"""", GOOGLETRANSLATE(P454, ""RO"", ""EN""), """")"),"1")</f>
        <v>1</v>
      </c>
      <c r="F454" s="5" t="str">
        <f>IFERROR(__xludf.DUMMYFUNCTION("IF(Q454&lt;&gt;"""", GOOGLETRANSLATE(Q454, ""RO"", ""EN""), """")"),"2")</f>
        <v>2</v>
      </c>
      <c r="G454" s="5" t="str">
        <f>IFERROR(__xludf.DUMMYFUNCTION("IF(R454&lt;&gt;"""", GOOGLETRANSLATE(R454, ""RO"", ""EN""), """")"),"3")</f>
        <v>3</v>
      </c>
      <c r="H454" s="5" t="str">
        <f>IFERROR(__xludf.DUMMYFUNCTION("IF(U454&lt;&gt;"""", GOOGLETRANSLATE(U454, ""RO"", ""EN""), """")"),"4")</f>
        <v>4</v>
      </c>
      <c r="I454" s="5" t="str">
        <f>IFERROR(__xludf.DUMMYFUNCTION("IF(V454&lt;&gt;"""", GOOGLETRANSLATE(V454, ""RO"", ""EN""), """")"),"5")</f>
        <v>5</v>
      </c>
      <c r="J454" s="5" t="str">
        <f>IFERROR(__xludf.DUMMYFUNCTION("IF(W454&lt;&gt;"""", GOOGLETRANSLATE(W454, ""RO"", ""EN""), """")"),"6")</f>
        <v>6</v>
      </c>
      <c r="K454" s="5" t="str">
        <f>IFERROR(__xludf.DUMMYFUNCTION("IF(X454&lt;&gt;"""", GOOGLETRANSLATE(X454, ""RO"", ""EN""), """")"),"7")</f>
        <v>7</v>
      </c>
      <c r="L454" s="5" t="str">
        <f>IFERROR(__xludf.DUMMYFUNCTION("IF(S454&lt;&gt;"""", GOOGLETRANSLATE(S454, ""RO"", ""EN""), """")"),"8")</f>
        <v>8</v>
      </c>
      <c r="M454" s="5" t="str">
        <f>IFERROR(__xludf.DUMMYFUNCTION("IF(T454&lt;&gt;"""", GOOGLETRANSLATE(T454, ""RO"", ""EN""), """")"),"9")</f>
        <v>9</v>
      </c>
      <c r="N454" s="5" t="str">
        <f>IFERROR(__xludf.DUMMYFUNCTION("IF(Y454&lt;&gt;"""", GOOGLETRANSLATE(Y454, ""RO"", ""EN""), """")"),"Right")</f>
        <v>Right</v>
      </c>
      <c r="O454" s="4" t="s">
        <v>714</v>
      </c>
      <c r="P454" s="4" t="s">
        <v>168</v>
      </c>
      <c r="Q454" s="4" t="s">
        <v>169</v>
      </c>
      <c r="R454" s="4" t="s">
        <v>170</v>
      </c>
      <c r="S454" s="4" t="s">
        <v>171</v>
      </c>
      <c r="T454" s="4" t="s">
        <v>172</v>
      </c>
      <c r="U454" s="4" t="s">
        <v>173</v>
      </c>
      <c r="V454" s="4" t="s">
        <v>174</v>
      </c>
      <c r="W454" s="4" t="s">
        <v>175</v>
      </c>
      <c r="X454" s="4" t="s">
        <v>176</v>
      </c>
      <c r="Y454" s="4" t="s">
        <v>715</v>
      </c>
      <c r="Z454" s="4" t="s">
        <v>1367</v>
      </c>
      <c r="AA454" s="4" t="s">
        <v>1368</v>
      </c>
      <c r="AB454" s="4" t="s">
        <v>104</v>
      </c>
      <c r="AD454" s="4" t="s">
        <v>1369</v>
      </c>
    </row>
    <row r="455" ht="15.75" customHeight="1">
      <c r="A455" s="4" t="s">
        <v>1373</v>
      </c>
      <c r="B455" s="4" t="s">
        <v>1251</v>
      </c>
      <c r="C455" s="4" t="str">
        <f>IFERROR(__xludf.DUMMYFUNCTION("GOOGLETRANSLATE(B455, ""RO"", ""EN"")"),"PRM")</f>
        <v>PRM</v>
      </c>
      <c r="D455" s="5" t="str">
        <f>IFERROR(__xludf.DUMMYFUNCTION("IF(O455&lt;&gt;"""", GOOGLETRANSLATE(O455, ""RO"", ""EN""), """")"),"Left")</f>
        <v>Left</v>
      </c>
      <c r="E455" s="6" t="str">
        <f>IFERROR(__xludf.DUMMYFUNCTION("IF(P455&lt;&gt;"""", GOOGLETRANSLATE(P455, ""RO"", ""EN""), """")"),"1")</f>
        <v>1</v>
      </c>
      <c r="F455" s="5" t="str">
        <f>IFERROR(__xludf.DUMMYFUNCTION("IF(Q455&lt;&gt;"""", GOOGLETRANSLATE(Q455, ""RO"", ""EN""), """")"),"2")</f>
        <v>2</v>
      </c>
      <c r="G455" s="5" t="str">
        <f>IFERROR(__xludf.DUMMYFUNCTION("IF(R455&lt;&gt;"""", GOOGLETRANSLATE(R455, ""RO"", ""EN""), """")"),"3")</f>
        <v>3</v>
      </c>
      <c r="H455" s="5" t="str">
        <f>IFERROR(__xludf.DUMMYFUNCTION("IF(U455&lt;&gt;"""", GOOGLETRANSLATE(U455, ""RO"", ""EN""), """")"),"4")</f>
        <v>4</v>
      </c>
      <c r="I455" s="5" t="str">
        <f>IFERROR(__xludf.DUMMYFUNCTION("IF(V455&lt;&gt;"""", GOOGLETRANSLATE(V455, ""RO"", ""EN""), """")"),"5")</f>
        <v>5</v>
      </c>
      <c r="J455" s="5" t="str">
        <f>IFERROR(__xludf.DUMMYFUNCTION("IF(W455&lt;&gt;"""", GOOGLETRANSLATE(W455, ""RO"", ""EN""), """")"),"6")</f>
        <v>6</v>
      </c>
      <c r="K455" s="5" t="str">
        <f>IFERROR(__xludf.DUMMYFUNCTION("IF(X455&lt;&gt;"""", GOOGLETRANSLATE(X455, ""RO"", ""EN""), """")"),"7")</f>
        <v>7</v>
      </c>
      <c r="L455" s="5" t="str">
        <f>IFERROR(__xludf.DUMMYFUNCTION("IF(S455&lt;&gt;"""", GOOGLETRANSLATE(S455, ""RO"", ""EN""), """")"),"8")</f>
        <v>8</v>
      </c>
      <c r="M455" s="5" t="str">
        <f>IFERROR(__xludf.DUMMYFUNCTION("IF(T455&lt;&gt;"""", GOOGLETRANSLATE(T455, ""RO"", ""EN""), """")"),"9")</f>
        <v>9</v>
      </c>
      <c r="N455" s="5" t="str">
        <f>IFERROR(__xludf.DUMMYFUNCTION("IF(Y455&lt;&gt;"""", GOOGLETRANSLATE(Y455, ""RO"", ""EN""), """")"),"Right")</f>
        <v>Right</v>
      </c>
      <c r="O455" s="4" t="s">
        <v>714</v>
      </c>
      <c r="P455" s="4" t="s">
        <v>168</v>
      </c>
      <c r="Q455" s="4" t="s">
        <v>169</v>
      </c>
      <c r="R455" s="4" t="s">
        <v>170</v>
      </c>
      <c r="S455" s="4" t="s">
        <v>171</v>
      </c>
      <c r="T455" s="4" t="s">
        <v>172</v>
      </c>
      <c r="U455" s="4" t="s">
        <v>173</v>
      </c>
      <c r="V455" s="4" t="s">
        <v>174</v>
      </c>
      <c r="W455" s="4" t="s">
        <v>175</v>
      </c>
      <c r="X455" s="4" t="s">
        <v>176</v>
      </c>
      <c r="Y455" s="4" t="s">
        <v>715</v>
      </c>
      <c r="Z455" s="4" t="s">
        <v>1367</v>
      </c>
      <c r="AA455" s="4" t="s">
        <v>1368</v>
      </c>
      <c r="AB455" s="4" t="s">
        <v>104</v>
      </c>
      <c r="AD455" s="4" t="s">
        <v>1369</v>
      </c>
    </row>
    <row r="456" ht="15.75" customHeight="1">
      <c r="A456" s="4" t="s">
        <v>1374</v>
      </c>
      <c r="B456" s="4" t="s">
        <v>1356</v>
      </c>
      <c r="C456" s="4" t="str">
        <f>IFERROR(__xludf.DUMMYFUNCTION("GOOGLETRANSLATE(B456, ""RO"", ""EN"")"),"PNG-cd")</f>
        <v>PNG-cd</v>
      </c>
      <c r="D456" s="5" t="str">
        <f>IFERROR(__xludf.DUMMYFUNCTION("IF(O456&lt;&gt;"""", GOOGLETRANSLATE(O456, ""RO"", ""EN""), """")"),"Left")</f>
        <v>Left</v>
      </c>
      <c r="E456" s="6" t="str">
        <f>IFERROR(__xludf.DUMMYFUNCTION("IF(P456&lt;&gt;"""", GOOGLETRANSLATE(P456, ""RO"", ""EN""), """")"),"1")</f>
        <v>1</v>
      </c>
      <c r="F456" s="5" t="str">
        <f>IFERROR(__xludf.DUMMYFUNCTION("IF(Q456&lt;&gt;"""", GOOGLETRANSLATE(Q456, ""RO"", ""EN""), """")"),"2")</f>
        <v>2</v>
      </c>
      <c r="G456" s="5" t="str">
        <f>IFERROR(__xludf.DUMMYFUNCTION("IF(R456&lt;&gt;"""", GOOGLETRANSLATE(R456, ""RO"", ""EN""), """")"),"3")</f>
        <v>3</v>
      </c>
      <c r="H456" s="5" t="str">
        <f>IFERROR(__xludf.DUMMYFUNCTION("IF(U456&lt;&gt;"""", GOOGLETRANSLATE(U456, ""RO"", ""EN""), """")"),"4")</f>
        <v>4</v>
      </c>
      <c r="I456" s="5" t="str">
        <f>IFERROR(__xludf.DUMMYFUNCTION("IF(V456&lt;&gt;"""", GOOGLETRANSLATE(V456, ""RO"", ""EN""), """")"),"5")</f>
        <v>5</v>
      </c>
      <c r="J456" s="5" t="str">
        <f>IFERROR(__xludf.DUMMYFUNCTION("IF(W456&lt;&gt;"""", GOOGLETRANSLATE(W456, ""RO"", ""EN""), """")"),"6")</f>
        <v>6</v>
      </c>
      <c r="K456" s="5" t="str">
        <f>IFERROR(__xludf.DUMMYFUNCTION("IF(X456&lt;&gt;"""", GOOGLETRANSLATE(X456, ""RO"", ""EN""), """")"),"7")</f>
        <v>7</v>
      </c>
      <c r="L456" s="5" t="str">
        <f>IFERROR(__xludf.DUMMYFUNCTION("IF(S456&lt;&gt;"""", GOOGLETRANSLATE(S456, ""RO"", ""EN""), """")"),"8")</f>
        <v>8</v>
      </c>
      <c r="M456" s="5" t="str">
        <f>IFERROR(__xludf.DUMMYFUNCTION("IF(T456&lt;&gt;"""", GOOGLETRANSLATE(T456, ""RO"", ""EN""), """")"),"9")</f>
        <v>9</v>
      </c>
      <c r="N456" s="5" t="str">
        <f>IFERROR(__xludf.DUMMYFUNCTION("IF(Y456&lt;&gt;"""", GOOGLETRANSLATE(Y456, ""RO"", ""EN""), """")"),"Right")</f>
        <v>Right</v>
      </c>
      <c r="O456" s="4" t="s">
        <v>714</v>
      </c>
      <c r="P456" s="4" t="s">
        <v>168</v>
      </c>
      <c r="Q456" s="4" t="s">
        <v>169</v>
      </c>
      <c r="R456" s="4" t="s">
        <v>170</v>
      </c>
      <c r="S456" s="4" t="s">
        <v>171</v>
      </c>
      <c r="T456" s="4" t="s">
        <v>172</v>
      </c>
      <c r="U456" s="4" t="s">
        <v>173</v>
      </c>
      <c r="V456" s="4" t="s">
        <v>174</v>
      </c>
      <c r="W456" s="4" t="s">
        <v>175</v>
      </c>
      <c r="X456" s="4" t="s">
        <v>176</v>
      </c>
      <c r="Y456" s="4" t="s">
        <v>715</v>
      </c>
      <c r="Z456" s="4" t="s">
        <v>1367</v>
      </c>
      <c r="AA456" s="4" t="s">
        <v>1368</v>
      </c>
      <c r="AB456" s="4" t="s">
        <v>104</v>
      </c>
      <c r="AD456" s="4" t="s">
        <v>1369</v>
      </c>
    </row>
    <row r="457" ht="15.75" customHeight="1">
      <c r="A457" s="4" t="s">
        <v>1375</v>
      </c>
      <c r="B457" s="4" t="s">
        <v>1376</v>
      </c>
      <c r="C457" s="4" t="str">
        <f>IFERROR(__xludf.DUMMYFUNCTION("GOOGLETRANSLATE(B457, ""RO"", ""EN"")"),"Again, using the same scale, where did you place ... Mircea Geoana?")</f>
        <v>Again, using the same scale, where did you place ... Mircea Geoana?</v>
      </c>
      <c r="D457" s="5" t="str">
        <f>IFERROR(__xludf.DUMMYFUNCTION("IF(O457&lt;&gt;"""", GOOGLETRANSLATE(O457, ""RO"", ""EN""), """")"),"Left")</f>
        <v>Left</v>
      </c>
      <c r="E457" s="6" t="str">
        <f>IFERROR(__xludf.DUMMYFUNCTION("IF(P457&lt;&gt;"""", GOOGLETRANSLATE(P457, ""RO"", ""EN""), """")"),"1")</f>
        <v>1</v>
      </c>
      <c r="F457" s="5" t="str">
        <f>IFERROR(__xludf.DUMMYFUNCTION("IF(Q457&lt;&gt;"""", GOOGLETRANSLATE(Q457, ""RO"", ""EN""), """")"),"2")</f>
        <v>2</v>
      </c>
      <c r="G457" s="5" t="str">
        <f>IFERROR(__xludf.DUMMYFUNCTION("IF(R457&lt;&gt;"""", GOOGLETRANSLATE(R457, ""RO"", ""EN""), """")"),"3")</f>
        <v>3</v>
      </c>
      <c r="H457" s="5" t="str">
        <f>IFERROR(__xludf.DUMMYFUNCTION("IF(U457&lt;&gt;"""", GOOGLETRANSLATE(U457, ""RO"", ""EN""), """")"),"4")</f>
        <v>4</v>
      </c>
      <c r="I457" s="5" t="str">
        <f>IFERROR(__xludf.DUMMYFUNCTION("IF(V457&lt;&gt;"""", GOOGLETRANSLATE(V457, ""RO"", ""EN""), """")"),"5")</f>
        <v>5</v>
      </c>
      <c r="J457" s="5" t="str">
        <f>IFERROR(__xludf.DUMMYFUNCTION("IF(W457&lt;&gt;"""", GOOGLETRANSLATE(W457, ""RO"", ""EN""), """")"),"6")</f>
        <v>6</v>
      </c>
      <c r="K457" s="5" t="str">
        <f>IFERROR(__xludf.DUMMYFUNCTION("IF(X457&lt;&gt;"""", GOOGLETRANSLATE(X457, ""RO"", ""EN""), """")"),"7")</f>
        <v>7</v>
      </c>
      <c r="L457" s="5" t="str">
        <f>IFERROR(__xludf.DUMMYFUNCTION("IF(S457&lt;&gt;"""", GOOGLETRANSLATE(S457, ""RO"", ""EN""), """")"),"8")</f>
        <v>8</v>
      </c>
      <c r="M457" s="5" t="str">
        <f>IFERROR(__xludf.DUMMYFUNCTION("IF(T457&lt;&gt;"""", GOOGLETRANSLATE(T457, ""RO"", ""EN""), """")"),"9")</f>
        <v>9</v>
      </c>
      <c r="N457" s="5" t="str">
        <f>IFERROR(__xludf.DUMMYFUNCTION("IF(Y457&lt;&gt;"""", GOOGLETRANSLATE(Y457, ""RO"", ""EN""), """")"),"Right")</f>
        <v>Right</v>
      </c>
      <c r="O457" s="4" t="s">
        <v>714</v>
      </c>
      <c r="P457" s="4" t="s">
        <v>168</v>
      </c>
      <c r="Q457" s="4" t="s">
        <v>169</v>
      </c>
      <c r="R457" s="4" t="s">
        <v>170</v>
      </c>
      <c r="S457" s="4" t="s">
        <v>171</v>
      </c>
      <c r="T457" s="4" t="s">
        <v>172</v>
      </c>
      <c r="U457" s="4" t="s">
        <v>173</v>
      </c>
      <c r="V457" s="4" t="s">
        <v>174</v>
      </c>
      <c r="W457" s="4" t="s">
        <v>175</v>
      </c>
      <c r="X457" s="4" t="s">
        <v>176</v>
      </c>
      <c r="Y457" s="4" t="s">
        <v>715</v>
      </c>
      <c r="Z457" s="4" t="s">
        <v>1367</v>
      </c>
      <c r="AA457" s="4" t="s">
        <v>1368</v>
      </c>
      <c r="AB457" s="4" t="s">
        <v>104</v>
      </c>
      <c r="AD457" s="4" t="s">
        <v>1369</v>
      </c>
    </row>
    <row r="458" ht="15.75" customHeight="1">
      <c r="A458" s="4" t="s">
        <v>1377</v>
      </c>
      <c r="B458" s="4" t="s">
        <v>220</v>
      </c>
      <c r="C458" s="4" t="str">
        <f>IFERROR(__xludf.DUMMYFUNCTION("GOOGLETRANSLATE(B458, ""RO"", ""EN"")"),"Crin Antonescu")</f>
        <v>Crin Antonescu</v>
      </c>
      <c r="D458" s="5" t="str">
        <f>IFERROR(__xludf.DUMMYFUNCTION("IF(O458&lt;&gt;"""", GOOGLETRANSLATE(O458, ""RO"", ""EN""), """")"),"Left")</f>
        <v>Left</v>
      </c>
      <c r="E458" s="6" t="str">
        <f>IFERROR(__xludf.DUMMYFUNCTION("IF(P458&lt;&gt;"""", GOOGLETRANSLATE(P458, ""RO"", ""EN""), """")"),"1")</f>
        <v>1</v>
      </c>
      <c r="F458" s="5" t="str">
        <f>IFERROR(__xludf.DUMMYFUNCTION("IF(Q458&lt;&gt;"""", GOOGLETRANSLATE(Q458, ""RO"", ""EN""), """")"),"2")</f>
        <v>2</v>
      </c>
      <c r="G458" s="5" t="str">
        <f>IFERROR(__xludf.DUMMYFUNCTION("IF(R458&lt;&gt;"""", GOOGLETRANSLATE(R458, ""RO"", ""EN""), """")"),"3")</f>
        <v>3</v>
      </c>
      <c r="H458" s="5" t="str">
        <f>IFERROR(__xludf.DUMMYFUNCTION("IF(U458&lt;&gt;"""", GOOGLETRANSLATE(U458, ""RO"", ""EN""), """")"),"4")</f>
        <v>4</v>
      </c>
      <c r="I458" s="5" t="str">
        <f>IFERROR(__xludf.DUMMYFUNCTION("IF(V458&lt;&gt;"""", GOOGLETRANSLATE(V458, ""RO"", ""EN""), """")"),"5")</f>
        <v>5</v>
      </c>
      <c r="J458" s="5" t="str">
        <f>IFERROR(__xludf.DUMMYFUNCTION("IF(W458&lt;&gt;"""", GOOGLETRANSLATE(W458, ""RO"", ""EN""), """")"),"6")</f>
        <v>6</v>
      </c>
      <c r="K458" s="5" t="str">
        <f>IFERROR(__xludf.DUMMYFUNCTION("IF(X458&lt;&gt;"""", GOOGLETRANSLATE(X458, ""RO"", ""EN""), """")"),"7")</f>
        <v>7</v>
      </c>
      <c r="L458" s="5" t="str">
        <f>IFERROR(__xludf.DUMMYFUNCTION("IF(S458&lt;&gt;"""", GOOGLETRANSLATE(S458, ""RO"", ""EN""), """")"),"8")</f>
        <v>8</v>
      </c>
      <c r="M458" s="5" t="str">
        <f>IFERROR(__xludf.DUMMYFUNCTION("IF(T458&lt;&gt;"""", GOOGLETRANSLATE(T458, ""RO"", ""EN""), """")"),"9")</f>
        <v>9</v>
      </c>
      <c r="N458" s="5" t="str">
        <f>IFERROR(__xludf.DUMMYFUNCTION("IF(Y458&lt;&gt;"""", GOOGLETRANSLATE(Y458, ""RO"", ""EN""), """")"),"Right")</f>
        <v>Right</v>
      </c>
      <c r="O458" s="4" t="s">
        <v>714</v>
      </c>
      <c r="P458" s="4" t="s">
        <v>168</v>
      </c>
      <c r="Q458" s="4" t="s">
        <v>169</v>
      </c>
      <c r="R458" s="4" t="s">
        <v>170</v>
      </c>
      <c r="S458" s="4" t="s">
        <v>171</v>
      </c>
      <c r="T458" s="4" t="s">
        <v>172</v>
      </c>
      <c r="U458" s="4" t="s">
        <v>173</v>
      </c>
      <c r="V458" s="4" t="s">
        <v>174</v>
      </c>
      <c r="W458" s="4" t="s">
        <v>175</v>
      </c>
      <c r="X458" s="4" t="s">
        <v>176</v>
      </c>
      <c r="Y458" s="4" t="s">
        <v>715</v>
      </c>
      <c r="Z458" s="4" t="s">
        <v>1367</v>
      </c>
      <c r="AA458" s="4" t="s">
        <v>1368</v>
      </c>
      <c r="AB458" s="4" t="s">
        <v>104</v>
      </c>
      <c r="AD458" s="4" t="s">
        <v>1369</v>
      </c>
    </row>
    <row r="459" ht="15.75" customHeight="1">
      <c r="A459" s="4" t="s">
        <v>1378</v>
      </c>
      <c r="B459" s="4" t="s">
        <v>221</v>
      </c>
      <c r="C459" s="4" t="str">
        <f>IFERROR(__xludf.DUMMYFUNCTION("GOOGLETRANSLATE(B459, ""RO"", ""EN"")"),"Traian Basescu")</f>
        <v>Traian Basescu</v>
      </c>
      <c r="D459" s="5" t="str">
        <f>IFERROR(__xludf.DUMMYFUNCTION("IF(O459&lt;&gt;"""", GOOGLETRANSLATE(O459, ""RO"", ""EN""), """")"),"Left")</f>
        <v>Left</v>
      </c>
      <c r="E459" s="6" t="str">
        <f>IFERROR(__xludf.DUMMYFUNCTION("IF(P459&lt;&gt;"""", GOOGLETRANSLATE(P459, ""RO"", ""EN""), """")"),"1")</f>
        <v>1</v>
      </c>
      <c r="F459" s="5" t="str">
        <f>IFERROR(__xludf.DUMMYFUNCTION("IF(Q459&lt;&gt;"""", GOOGLETRANSLATE(Q459, ""RO"", ""EN""), """")"),"2")</f>
        <v>2</v>
      </c>
      <c r="G459" s="5" t="str">
        <f>IFERROR(__xludf.DUMMYFUNCTION("IF(R459&lt;&gt;"""", GOOGLETRANSLATE(R459, ""RO"", ""EN""), """")"),"3")</f>
        <v>3</v>
      </c>
      <c r="H459" s="5" t="str">
        <f>IFERROR(__xludf.DUMMYFUNCTION("IF(U459&lt;&gt;"""", GOOGLETRANSLATE(U459, ""RO"", ""EN""), """")"),"4")</f>
        <v>4</v>
      </c>
      <c r="I459" s="5" t="str">
        <f>IFERROR(__xludf.DUMMYFUNCTION("IF(V459&lt;&gt;"""", GOOGLETRANSLATE(V459, ""RO"", ""EN""), """")"),"5")</f>
        <v>5</v>
      </c>
      <c r="J459" s="5" t="str">
        <f>IFERROR(__xludf.DUMMYFUNCTION("IF(W459&lt;&gt;"""", GOOGLETRANSLATE(W459, ""RO"", ""EN""), """")"),"6")</f>
        <v>6</v>
      </c>
      <c r="K459" s="5" t="str">
        <f>IFERROR(__xludf.DUMMYFUNCTION("IF(X459&lt;&gt;"""", GOOGLETRANSLATE(X459, ""RO"", ""EN""), """")"),"7")</f>
        <v>7</v>
      </c>
      <c r="L459" s="5" t="str">
        <f>IFERROR(__xludf.DUMMYFUNCTION("IF(S459&lt;&gt;"""", GOOGLETRANSLATE(S459, ""RO"", ""EN""), """")"),"8")</f>
        <v>8</v>
      </c>
      <c r="M459" s="5" t="str">
        <f>IFERROR(__xludf.DUMMYFUNCTION("IF(T459&lt;&gt;"""", GOOGLETRANSLATE(T459, ""RO"", ""EN""), """")"),"9")</f>
        <v>9</v>
      </c>
      <c r="N459" s="5" t="str">
        <f>IFERROR(__xludf.DUMMYFUNCTION("IF(Y459&lt;&gt;"""", GOOGLETRANSLATE(Y459, ""RO"", ""EN""), """")"),"Right")</f>
        <v>Right</v>
      </c>
      <c r="O459" s="4" t="s">
        <v>714</v>
      </c>
      <c r="P459" s="4" t="s">
        <v>168</v>
      </c>
      <c r="Q459" s="4" t="s">
        <v>169</v>
      </c>
      <c r="R459" s="4" t="s">
        <v>170</v>
      </c>
      <c r="S459" s="4" t="s">
        <v>171</v>
      </c>
      <c r="T459" s="4" t="s">
        <v>172</v>
      </c>
      <c r="U459" s="4" t="s">
        <v>173</v>
      </c>
      <c r="V459" s="4" t="s">
        <v>174</v>
      </c>
      <c r="W459" s="4" t="s">
        <v>175</v>
      </c>
      <c r="X459" s="4" t="s">
        <v>176</v>
      </c>
      <c r="Y459" s="4" t="s">
        <v>715</v>
      </c>
      <c r="Z459" s="4" t="s">
        <v>1367</v>
      </c>
      <c r="AA459" s="4" t="s">
        <v>1368</v>
      </c>
      <c r="AB459" s="4" t="s">
        <v>104</v>
      </c>
      <c r="AD459" s="4" t="s">
        <v>1369</v>
      </c>
    </row>
    <row r="460" ht="15.75" customHeight="1">
      <c r="A460" s="4" t="s">
        <v>1379</v>
      </c>
      <c r="B460" s="4" t="s">
        <v>223</v>
      </c>
      <c r="C460" s="4" t="str">
        <f>IFERROR(__xludf.DUMMYFUNCTION("GOOGLETRANSLATE(B460, ""RO"", ""EN"")"),"Sorin Oprescu")</f>
        <v>Sorin Oprescu</v>
      </c>
      <c r="D460" s="5" t="str">
        <f>IFERROR(__xludf.DUMMYFUNCTION("IF(O460&lt;&gt;"""", GOOGLETRANSLATE(O460, ""RO"", ""EN""), """")"),"Left")</f>
        <v>Left</v>
      </c>
      <c r="E460" s="6" t="str">
        <f>IFERROR(__xludf.DUMMYFUNCTION("IF(P460&lt;&gt;"""", GOOGLETRANSLATE(P460, ""RO"", ""EN""), """")"),"1")</f>
        <v>1</v>
      </c>
      <c r="F460" s="5" t="str">
        <f>IFERROR(__xludf.DUMMYFUNCTION("IF(Q460&lt;&gt;"""", GOOGLETRANSLATE(Q460, ""RO"", ""EN""), """")"),"2")</f>
        <v>2</v>
      </c>
      <c r="G460" s="5" t="str">
        <f>IFERROR(__xludf.DUMMYFUNCTION("IF(R460&lt;&gt;"""", GOOGLETRANSLATE(R460, ""RO"", ""EN""), """")"),"3")</f>
        <v>3</v>
      </c>
      <c r="H460" s="5" t="str">
        <f>IFERROR(__xludf.DUMMYFUNCTION("IF(U460&lt;&gt;"""", GOOGLETRANSLATE(U460, ""RO"", ""EN""), """")"),"4")</f>
        <v>4</v>
      </c>
      <c r="I460" s="5" t="str">
        <f>IFERROR(__xludf.DUMMYFUNCTION("IF(V460&lt;&gt;"""", GOOGLETRANSLATE(V460, ""RO"", ""EN""), """")"),"5")</f>
        <v>5</v>
      </c>
      <c r="J460" s="5" t="str">
        <f>IFERROR(__xludf.DUMMYFUNCTION("IF(W460&lt;&gt;"""", GOOGLETRANSLATE(W460, ""RO"", ""EN""), """")"),"6")</f>
        <v>6</v>
      </c>
      <c r="K460" s="5" t="str">
        <f>IFERROR(__xludf.DUMMYFUNCTION("IF(X460&lt;&gt;"""", GOOGLETRANSLATE(X460, ""RO"", ""EN""), """")"),"7")</f>
        <v>7</v>
      </c>
      <c r="L460" s="5" t="str">
        <f>IFERROR(__xludf.DUMMYFUNCTION("IF(S460&lt;&gt;"""", GOOGLETRANSLATE(S460, ""RO"", ""EN""), """")"),"8")</f>
        <v>8</v>
      </c>
      <c r="M460" s="5" t="str">
        <f>IFERROR(__xludf.DUMMYFUNCTION("IF(T460&lt;&gt;"""", GOOGLETRANSLATE(T460, ""RO"", ""EN""), """")"),"9")</f>
        <v>9</v>
      </c>
      <c r="N460" s="5" t="str">
        <f>IFERROR(__xludf.DUMMYFUNCTION("IF(Y460&lt;&gt;"""", GOOGLETRANSLATE(Y460, ""RO"", ""EN""), """")"),"Right")</f>
        <v>Right</v>
      </c>
      <c r="O460" s="4" t="s">
        <v>714</v>
      </c>
      <c r="P460" s="4" t="s">
        <v>168</v>
      </c>
      <c r="Q460" s="4" t="s">
        <v>169</v>
      </c>
      <c r="R460" s="4" t="s">
        <v>170</v>
      </c>
      <c r="S460" s="4" t="s">
        <v>171</v>
      </c>
      <c r="T460" s="4" t="s">
        <v>172</v>
      </c>
      <c r="U460" s="4" t="s">
        <v>173</v>
      </c>
      <c r="V460" s="4" t="s">
        <v>174</v>
      </c>
      <c r="W460" s="4" t="s">
        <v>175</v>
      </c>
      <c r="X460" s="4" t="s">
        <v>176</v>
      </c>
      <c r="Y460" s="4" t="s">
        <v>715</v>
      </c>
      <c r="Z460" s="4" t="s">
        <v>1367</v>
      </c>
      <c r="AA460" s="4" t="s">
        <v>1368</v>
      </c>
      <c r="AB460" s="4" t="s">
        <v>104</v>
      </c>
      <c r="AD460" s="4" t="s">
        <v>1369</v>
      </c>
    </row>
    <row r="461" ht="15.75" customHeight="1">
      <c r="A461" s="4" t="s">
        <v>1380</v>
      </c>
      <c r="B461" s="4" t="s">
        <v>224</v>
      </c>
      <c r="C461" s="4" t="str">
        <f>IFERROR(__xludf.DUMMYFUNCTION("GOOGLETRANSLATE(B461, ""RO"", ""EN"")"),"Corneliu Vadim Tudor")</f>
        <v>Corneliu Vadim Tudor</v>
      </c>
      <c r="D461" s="5" t="str">
        <f>IFERROR(__xludf.DUMMYFUNCTION("IF(O461&lt;&gt;"""", GOOGLETRANSLATE(O461, ""RO"", ""EN""), """")"),"Left")</f>
        <v>Left</v>
      </c>
      <c r="E461" s="6" t="str">
        <f>IFERROR(__xludf.DUMMYFUNCTION("IF(P461&lt;&gt;"""", GOOGLETRANSLATE(P461, ""RO"", ""EN""), """")"),"1")</f>
        <v>1</v>
      </c>
      <c r="F461" s="5" t="str">
        <f>IFERROR(__xludf.DUMMYFUNCTION("IF(Q461&lt;&gt;"""", GOOGLETRANSLATE(Q461, ""RO"", ""EN""), """")"),"2")</f>
        <v>2</v>
      </c>
      <c r="G461" s="5" t="str">
        <f>IFERROR(__xludf.DUMMYFUNCTION("IF(R461&lt;&gt;"""", GOOGLETRANSLATE(R461, ""RO"", ""EN""), """")"),"3")</f>
        <v>3</v>
      </c>
      <c r="H461" s="5" t="str">
        <f>IFERROR(__xludf.DUMMYFUNCTION("IF(U461&lt;&gt;"""", GOOGLETRANSLATE(U461, ""RO"", ""EN""), """")"),"4")</f>
        <v>4</v>
      </c>
      <c r="I461" s="5" t="str">
        <f>IFERROR(__xludf.DUMMYFUNCTION("IF(V461&lt;&gt;"""", GOOGLETRANSLATE(V461, ""RO"", ""EN""), """")"),"5")</f>
        <v>5</v>
      </c>
      <c r="J461" s="5" t="str">
        <f>IFERROR(__xludf.DUMMYFUNCTION("IF(W461&lt;&gt;"""", GOOGLETRANSLATE(W461, ""RO"", ""EN""), """")"),"6")</f>
        <v>6</v>
      </c>
      <c r="K461" s="5" t="str">
        <f>IFERROR(__xludf.DUMMYFUNCTION("IF(X461&lt;&gt;"""", GOOGLETRANSLATE(X461, ""RO"", ""EN""), """")"),"7")</f>
        <v>7</v>
      </c>
      <c r="L461" s="5" t="str">
        <f>IFERROR(__xludf.DUMMYFUNCTION("IF(S461&lt;&gt;"""", GOOGLETRANSLATE(S461, ""RO"", ""EN""), """")"),"8")</f>
        <v>8</v>
      </c>
      <c r="M461" s="5" t="str">
        <f>IFERROR(__xludf.DUMMYFUNCTION("IF(T461&lt;&gt;"""", GOOGLETRANSLATE(T461, ""RO"", ""EN""), """")"),"9")</f>
        <v>9</v>
      </c>
      <c r="N461" s="5" t="str">
        <f>IFERROR(__xludf.DUMMYFUNCTION("IF(Y461&lt;&gt;"""", GOOGLETRANSLATE(Y461, ""RO"", ""EN""), """")"),"Right")</f>
        <v>Right</v>
      </c>
      <c r="O461" s="4" t="s">
        <v>714</v>
      </c>
      <c r="P461" s="4" t="s">
        <v>168</v>
      </c>
      <c r="Q461" s="4" t="s">
        <v>169</v>
      </c>
      <c r="R461" s="4" t="s">
        <v>170</v>
      </c>
      <c r="S461" s="4" t="s">
        <v>171</v>
      </c>
      <c r="T461" s="4" t="s">
        <v>172</v>
      </c>
      <c r="U461" s="4" t="s">
        <v>173</v>
      </c>
      <c r="V461" s="4" t="s">
        <v>174</v>
      </c>
      <c r="W461" s="4" t="s">
        <v>175</v>
      </c>
      <c r="X461" s="4" t="s">
        <v>176</v>
      </c>
      <c r="Y461" s="4" t="s">
        <v>715</v>
      </c>
      <c r="Z461" s="4" t="s">
        <v>1367</v>
      </c>
      <c r="AA461" s="4" t="s">
        <v>1368</v>
      </c>
      <c r="AB461" s="4" t="s">
        <v>104</v>
      </c>
      <c r="AD461" s="4" t="s">
        <v>1369</v>
      </c>
    </row>
    <row r="462" ht="15.75" customHeight="1">
      <c r="A462" s="4" t="s">
        <v>1381</v>
      </c>
      <c r="B462" s="4" t="s">
        <v>225</v>
      </c>
      <c r="C462" s="4" t="str">
        <f>IFERROR(__xludf.DUMMYFUNCTION("GOOGLETRANSLATE(B462, ""RO"", ""EN"")"),"Kelemen Hunor")</f>
        <v>Kelemen Hunor</v>
      </c>
      <c r="D462" s="5" t="str">
        <f>IFERROR(__xludf.DUMMYFUNCTION("IF(O462&lt;&gt;"""", GOOGLETRANSLATE(O462, ""RO"", ""EN""), """")"),"Left")</f>
        <v>Left</v>
      </c>
      <c r="E462" s="6" t="str">
        <f>IFERROR(__xludf.DUMMYFUNCTION("IF(P462&lt;&gt;"""", GOOGLETRANSLATE(P462, ""RO"", ""EN""), """")"),"1")</f>
        <v>1</v>
      </c>
      <c r="F462" s="5" t="str">
        <f>IFERROR(__xludf.DUMMYFUNCTION("IF(Q462&lt;&gt;"""", GOOGLETRANSLATE(Q462, ""RO"", ""EN""), """")"),"2")</f>
        <v>2</v>
      </c>
      <c r="G462" s="5" t="str">
        <f>IFERROR(__xludf.DUMMYFUNCTION("IF(R462&lt;&gt;"""", GOOGLETRANSLATE(R462, ""RO"", ""EN""), """")"),"3")</f>
        <v>3</v>
      </c>
      <c r="H462" s="5" t="str">
        <f>IFERROR(__xludf.DUMMYFUNCTION("IF(U462&lt;&gt;"""", GOOGLETRANSLATE(U462, ""RO"", ""EN""), """")"),"4")</f>
        <v>4</v>
      </c>
      <c r="I462" s="5" t="str">
        <f>IFERROR(__xludf.DUMMYFUNCTION("IF(V462&lt;&gt;"""", GOOGLETRANSLATE(V462, ""RO"", ""EN""), """")"),"5")</f>
        <v>5</v>
      </c>
      <c r="J462" s="5" t="str">
        <f>IFERROR(__xludf.DUMMYFUNCTION("IF(W462&lt;&gt;"""", GOOGLETRANSLATE(W462, ""RO"", ""EN""), """")"),"6")</f>
        <v>6</v>
      </c>
      <c r="K462" s="5" t="str">
        <f>IFERROR(__xludf.DUMMYFUNCTION("IF(X462&lt;&gt;"""", GOOGLETRANSLATE(X462, ""RO"", ""EN""), """")"),"7")</f>
        <v>7</v>
      </c>
      <c r="L462" s="5" t="str">
        <f>IFERROR(__xludf.DUMMYFUNCTION("IF(S462&lt;&gt;"""", GOOGLETRANSLATE(S462, ""RO"", ""EN""), """")"),"8")</f>
        <v>8</v>
      </c>
      <c r="M462" s="5" t="str">
        <f>IFERROR(__xludf.DUMMYFUNCTION("IF(T462&lt;&gt;"""", GOOGLETRANSLATE(T462, ""RO"", ""EN""), """")"),"9")</f>
        <v>9</v>
      </c>
      <c r="N462" s="5" t="str">
        <f>IFERROR(__xludf.DUMMYFUNCTION("IF(Y462&lt;&gt;"""", GOOGLETRANSLATE(Y462, ""RO"", ""EN""), """")"),"Right")</f>
        <v>Right</v>
      </c>
      <c r="O462" s="4" t="s">
        <v>714</v>
      </c>
      <c r="P462" s="4" t="s">
        <v>168</v>
      </c>
      <c r="Q462" s="4" t="s">
        <v>169</v>
      </c>
      <c r="R462" s="4" t="s">
        <v>170</v>
      </c>
      <c r="S462" s="4" t="s">
        <v>171</v>
      </c>
      <c r="T462" s="4" t="s">
        <v>172</v>
      </c>
      <c r="U462" s="4" t="s">
        <v>173</v>
      </c>
      <c r="V462" s="4" t="s">
        <v>174</v>
      </c>
      <c r="W462" s="4" t="s">
        <v>175</v>
      </c>
      <c r="X462" s="4" t="s">
        <v>176</v>
      </c>
      <c r="Y462" s="4" t="s">
        <v>715</v>
      </c>
      <c r="Z462" s="4" t="s">
        <v>1367</v>
      </c>
      <c r="AA462" s="4" t="s">
        <v>1368</v>
      </c>
      <c r="AB462" s="4" t="s">
        <v>104</v>
      </c>
      <c r="AD462" s="4" t="s">
        <v>1369</v>
      </c>
    </row>
    <row r="463" ht="15.75" customHeight="1">
      <c r="A463" s="4" t="s">
        <v>1382</v>
      </c>
      <c r="B463" s="4" t="s">
        <v>226</v>
      </c>
      <c r="C463" s="4" t="str">
        <f>IFERROR(__xludf.DUMMYFUNCTION("GOOGLETRANSLATE(B463, ""RO"", ""EN"")"),"George Becali")</f>
        <v>George Becali</v>
      </c>
      <c r="D463" s="5" t="str">
        <f>IFERROR(__xludf.DUMMYFUNCTION("IF(O463&lt;&gt;"""", GOOGLETRANSLATE(O463, ""RO"", ""EN""), """")"),"Left")</f>
        <v>Left</v>
      </c>
      <c r="E463" s="6" t="str">
        <f>IFERROR(__xludf.DUMMYFUNCTION("IF(P463&lt;&gt;"""", GOOGLETRANSLATE(P463, ""RO"", ""EN""), """")"),"1")</f>
        <v>1</v>
      </c>
      <c r="F463" s="5" t="str">
        <f>IFERROR(__xludf.DUMMYFUNCTION("IF(Q463&lt;&gt;"""", GOOGLETRANSLATE(Q463, ""RO"", ""EN""), """")"),"2")</f>
        <v>2</v>
      </c>
      <c r="G463" s="5" t="str">
        <f>IFERROR(__xludf.DUMMYFUNCTION("IF(R463&lt;&gt;"""", GOOGLETRANSLATE(R463, ""RO"", ""EN""), """")"),"3")</f>
        <v>3</v>
      </c>
      <c r="H463" s="5" t="str">
        <f>IFERROR(__xludf.DUMMYFUNCTION("IF(U463&lt;&gt;"""", GOOGLETRANSLATE(U463, ""RO"", ""EN""), """")"),"4")</f>
        <v>4</v>
      </c>
      <c r="I463" s="5" t="str">
        <f>IFERROR(__xludf.DUMMYFUNCTION("IF(V463&lt;&gt;"""", GOOGLETRANSLATE(V463, ""RO"", ""EN""), """")"),"5")</f>
        <v>5</v>
      </c>
      <c r="J463" s="5" t="str">
        <f>IFERROR(__xludf.DUMMYFUNCTION("IF(W463&lt;&gt;"""", GOOGLETRANSLATE(W463, ""RO"", ""EN""), """")"),"6")</f>
        <v>6</v>
      </c>
      <c r="K463" s="5" t="str">
        <f>IFERROR(__xludf.DUMMYFUNCTION("IF(X463&lt;&gt;"""", GOOGLETRANSLATE(X463, ""RO"", ""EN""), """")"),"7")</f>
        <v>7</v>
      </c>
      <c r="L463" s="5" t="str">
        <f>IFERROR(__xludf.DUMMYFUNCTION("IF(S463&lt;&gt;"""", GOOGLETRANSLATE(S463, ""RO"", ""EN""), """")"),"8")</f>
        <v>8</v>
      </c>
      <c r="M463" s="5" t="str">
        <f>IFERROR(__xludf.DUMMYFUNCTION("IF(T463&lt;&gt;"""", GOOGLETRANSLATE(T463, ""RO"", ""EN""), """")"),"9")</f>
        <v>9</v>
      </c>
      <c r="N463" s="5" t="str">
        <f>IFERROR(__xludf.DUMMYFUNCTION("IF(Y463&lt;&gt;"""", GOOGLETRANSLATE(Y463, ""RO"", ""EN""), """")"),"Right")</f>
        <v>Right</v>
      </c>
      <c r="O463" s="4" t="s">
        <v>714</v>
      </c>
      <c r="P463" s="4" t="s">
        <v>168</v>
      </c>
      <c r="Q463" s="4" t="s">
        <v>169</v>
      </c>
      <c r="R463" s="4" t="s">
        <v>170</v>
      </c>
      <c r="S463" s="4" t="s">
        <v>171</v>
      </c>
      <c r="T463" s="4" t="s">
        <v>172</v>
      </c>
      <c r="U463" s="4" t="s">
        <v>173</v>
      </c>
      <c r="V463" s="4" t="s">
        <v>174</v>
      </c>
      <c r="W463" s="4" t="s">
        <v>175</v>
      </c>
      <c r="X463" s="4" t="s">
        <v>176</v>
      </c>
      <c r="Y463" s="4" t="s">
        <v>715</v>
      </c>
      <c r="Z463" s="4" t="s">
        <v>1367</v>
      </c>
      <c r="AA463" s="4" t="s">
        <v>1368</v>
      </c>
      <c r="AB463" s="4" t="s">
        <v>104</v>
      </c>
      <c r="AD463" s="4" t="s">
        <v>1369</v>
      </c>
    </row>
    <row r="464" ht="15.75" customHeight="1">
      <c r="A464" s="4" t="s">
        <v>1383</v>
      </c>
      <c r="B464" s="4" t="s">
        <v>1384</v>
      </c>
      <c r="C464" s="4" t="str">
        <f>IFERROR(__xludf.DUMMYFUNCTION("GOOGLETRANSLATE(B464, ""RO"", ""EN"")"),"Where did you place on this scale?")</f>
        <v>Where did you place on this scale?</v>
      </c>
      <c r="D464" s="5" t="str">
        <f>IFERROR(__xludf.DUMMYFUNCTION("IF(O464&lt;&gt;"""", GOOGLETRANSLATE(O464, ""RO"", ""EN""), """")"),"Left")</f>
        <v>Left</v>
      </c>
      <c r="E464" s="6" t="str">
        <f>IFERROR(__xludf.DUMMYFUNCTION("IF(P464&lt;&gt;"""", GOOGLETRANSLATE(P464, ""RO"", ""EN""), """")"),"1")</f>
        <v>1</v>
      </c>
      <c r="F464" s="5" t="str">
        <f>IFERROR(__xludf.DUMMYFUNCTION("IF(Q464&lt;&gt;"""", GOOGLETRANSLATE(Q464, ""RO"", ""EN""), """")"),"2")</f>
        <v>2</v>
      </c>
      <c r="G464" s="5" t="str">
        <f>IFERROR(__xludf.DUMMYFUNCTION("IF(R464&lt;&gt;"""", GOOGLETRANSLATE(R464, ""RO"", ""EN""), """")"),"3")</f>
        <v>3</v>
      </c>
      <c r="H464" s="5" t="str">
        <f>IFERROR(__xludf.DUMMYFUNCTION("IF(U464&lt;&gt;"""", GOOGLETRANSLATE(U464, ""RO"", ""EN""), """")"),"4")</f>
        <v>4</v>
      </c>
      <c r="I464" s="5" t="str">
        <f>IFERROR(__xludf.DUMMYFUNCTION("IF(V464&lt;&gt;"""", GOOGLETRANSLATE(V464, ""RO"", ""EN""), """")"),"5")</f>
        <v>5</v>
      </c>
      <c r="J464" s="5" t="str">
        <f>IFERROR(__xludf.DUMMYFUNCTION("IF(W464&lt;&gt;"""", GOOGLETRANSLATE(W464, ""RO"", ""EN""), """")"),"6")</f>
        <v>6</v>
      </c>
      <c r="K464" s="5" t="str">
        <f>IFERROR(__xludf.DUMMYFUNCTION("IF(X464&lt;&gt;"""", GOOGLETRANSLATE(X464, ""RO"", ""EN""), """")"),"7")</f>
        <v>7</v>
      </c>
      <c r="L464" s="5" t="str">
        <f>IFERROR(__xludf.DUMMYFUNCTION("IF(S464&lt;&gt;"""", GOOGLETRANSLATE(S464, ""RO"", ""EN""), """")"),"8")</f>
        <v>8</v>
      </c>
      <c r="M464" s="5" t="str">
        <f>IFERROR(__xludf.DUMMYFUNCTION("IF(T464&lt;&gt;"""", GOOGLETRANSLATE(T464, ""RO"", ""EN""), """")"),"9")</f>
        <v>9</v>
      </c>
      <c r="N464" s="5" t="str">
        <f>IFERROR(__xludf.DUMMYFUNCTION("IF(Y464&lt;&gt;"""", GOOGLETRANSLATE(Y464, ""RO"", ""EN""), """")"),"Right")</f>
        <v>Right</v>
      </c>
      <c r="O464" s="4" t="s">
        <v>714</v>
      </c>
      <c r="P464" s="4" t="s">
        <v>168</v>
      </c>
      <c r="Q464" s="4" t="s">
        <v>169</v>
      </c>
      <c r="R464" s="4" t="s">
        <v>170</v>
      </c>
      <c r="S464" s="4" t="s">
        <v>171</v>
      </c>
      <c r="T464" s="4" t="s">
        <v>172</v>
      </c>
      <c r="U464" s="4" t="s">
        <v>173</v>
      </c>
      <c r="V464" s="4" t="s">
        <v>174</v>
      </c>
      <c r="W464" s="4" t="s">
        <v>175</v>
      </c>
      <c r="X464" s="4" t="s">
        <v>176</v>
      </c>
      <c r="Y464" s="4" t="s">
        <v>715</v>
      </c>
      <c r="Z464" s="4" t="s">
        <v>1369</v>
      </c>
      <c r="AA464" s="4" t="s">
        <v>103</v>
      </c>
      <c r="AB464" s="4" t="s">
        <v>104</v>
      </c>
    </row>
    <row r="465" ht="15.75" customHeight="1">
      <c r="A465" s="4" t="s">
        <v>1385</v>
      </c>
      <c r="B465" s="4" t="s">
        <v>1386</v>
      </c>
      <c r="C465" s="4" t="str">
        <f>IFERROR(__xludf.DUMMYFUNCTION("GOOGLETRANSLATE(B465, ""RO"", ""EN"")"),"In the case of the election campaign that has just ended, do you think the differences between the candidates were rather large, rather small or did they not exist at all?")</f>
        <v>In the case of the election campaign that has just ended, do you think the differences between the candidates were rather large, rather small or did they not exist at all?</v>
      </c>
      <c r="D465" s="5" t="str">
        <f>IFERROR(__xludf.DUMMYFUNCTION("IF(O465&lt;&gt;"""", GOOGLETRANSLATE(O465, ""RO"", ""EN""), """")"),"")</f>
        <v/>
      </c>
      <c r="E465" s="6" t="str">
        <f>IFERROR(__xludf.DUMMYFUNCTION("IF(P465&lt;&gt;"""", GOOGLETRANSLATE(P465, ""RO"", ""EN""), """")"),"There were large differences")</f>
        <v>There were large differences</v>
      </c>
      <c r="F465" s="5" t="str">
        <f>IFERROR(__xludf.DUMMYFUNCTION("IF(Q465&lt;&gt;"""", GOOGLETRANSLATE(Q465, ""RO"", ""EN""), """")"),"The differences were small")</f>
        <v>The differences were small</v>
      </c>
      <c r="G465" s="5" t="str">
        <f>IFERROR(__xludf.DUMMYFUNCTION("IF(R465&lt;&gt;"""", GOOGLETRANSLATE(R465, ""RO"", ""EN""), """")"),"There were no differences at all")</f>
        <v>There were no differences at all</v>
      </c>
      <c r="H465" s="5" t="str">
        <f>IFERROR(__xludf.DUMMYFUNCTION("IF(U465&lt;&gt;"""", GOOGLETRANSLATE(U465, ""RO"", ""EN""), """")"),"")</f>
        <v/>
      </c>
      <c r="I465" s="5" t="str">
        <f>IFERROR(__xludf.DUMMYFUNCTION("IF(V465&lt;&gt;"""", GOOGLETRANSLATE(V465, ""RO"", ""EN""), """")"),"")</f>
        <v/>
      </c>
      <c r="J465" s="5" t="str">
        <f>IFERROR(__xludf.DUMMYFUNCTION("IF(W465&lt;&gt;"""", GOOGLETRANSLATE(W465, ""RO"", ""EN""), """")"),"")</f>
        <v/>
      </c>
      <c r="K465" s="5" t="str">
        <f>IFERROR(__xludf.DUMMYFUNCTION("IF(X465&lt;&gt;"""", GOOGLETRANSLATE(X465, ""RO"", ""EN""), """")"),"")</f>
        <v/>
      </c>
      <c r="L465" s="5" t="str">
        <f>IFERROR(__xludf.DUMMYFUNCTION("IF(S465&lt;&gt;"""", GOOGLETRANSLATE(S465, ""RO"", ""EN""), """")"),"Ns")</f>
        <v>Ns</v>
      </c>
      <c r="M465" s="5" t="str">
        <f>IFERROR(__xludf.DUMMYFUNCTION("IF(T465&lt;&gt;"""", GOOGLETRANSLATE(T465, ""RO"", ""EN""), """")"),"No.")</f>
        <v>No.</v>
      </c>
      <c r="N465" s="5" t="str">
        <f>IFERROR(__xludf.DUMMYFUNCTION("IF(Y465&lt;&gt;"""", GOOGLETRANSLATE(Y465, ""RO"", ""EN""), """")"),"")</f>
        <v/>
      </c>
      <c r="P465" s="4" t="s">
        <v>1387</v>
      </c>
      <c r="Q465" s="4" t="s">
        <v>1388</v>
      </c>
      <c r="R465" s="4" t="s">
        <v>1389</v>
      </c>
      <c r="S465" s="4" t="s">
        <v>103</v>
      </c>
      <c r="T465" s="4" t="s">
        <v>104</v>
      </c>
    </row>
    <row r="466" ht="15.75" customHeight="1">
      <c r="A466" s="4" t="s">
        <v>1390</v>
      </c>
      <c r="B466" s="4" t="s">
        <v>1391</v>
      </c>
      <c r="C466" s="4" t="str">
        <f>IFERROR(__xludf.DUMMYFUNCTION("GOOGLETRANSLATE(B466, ""RO"", ""EN"")"),"How careful you followed the election campaign?")</f>
        <v>How careful you followed the election campaign?</v>
      </c>
      <c r="D466" s="5" t="str">
        <f>IFERROR(__xludf.DUMMYFUNCTION("IF(O466&lt;&gt;"""", GOOGLETRANSLATE(O466, ""RO"", ""EN""), """")"),"")</f>
        <v/>
      </c>
      <c r="E466" s="6" t="str">
        <f>IFERROR(__xludf.DUMMYFUNCTION("IF(P466&lt;&gt;"""", GOOGLETRANSLATE(P466, ""RO"", ""EN""), """")"),"Very carefully")</f>
        <v>Very carefully</v>
      </c>
      <c r="F466" s="5" t="str">
        <f>IFERROR(__xludf.DUMMYFUNCTION("IF(Q466&lt;&gt;"""", GOOGLETRANSLATE(Q466, ""RO"", ""EN""), """")"),"Pretty careful")</f>
        <v>Pretty careful</v>
      </c>
      <c r="G466" s="5" t="str">
        <f>IFERROR(__xludf.DUMMYFUNCTION("IF(R466&lt;&gt;"""", GOOGLETRANSLATE(R466, ""RO"", ""EN""), """")"),"Not too careful")</f>
        <v>Not too careful</v>
      </c>
      <c r="H466" s="5" t="str">
        <f>IFERROR(__xludf.DUMMYFUNCTION("IF(U466&lt;&gt;"""", GOOGLETRANSLATE(U466, ""RO"", ""EN""), """")"),"Not at all careful")</f>
        <v>Not at all careful</v>
      </c>
      <c r="I466" s="5" t="str">
        <f>IFERROR(__xludf.DUMMYFUNCTION("IF(V466&lt;&gt;"""", GOOGLETRANSLATE(V466, ""RO"", ""EN""), """")"),"")</f>
        <v/>
      </c>
      <c r="J466" s="5" t="str">
        <f>IFERROR(__xludf.DUMMYFUNCTION("IF(W466&lt;&gt;"""", GOOGLETRANSLATE(W466, ""RO"", ""EN""), """")"),"")</f>
        <v/>
      </c>
      <c r="K466" s="5" t="str">
        <f>IFERROR(__xludf.DUMMYFUNCTION("IF(X466&lt;&gt;"""", GOOGLETRANSLATE(X466, ""RO"", ""EN""), """")"),"")</f>
        <v/>
      </c>
      <c r="L466" s="5" t="str">
        <f>IFERROR(__xludf.DUMMYFUNCTION("IF(S466&lt;&gt;"""", GOOGLETRANSLATE(S466, ""RO"", ""EN""), """")"),"Ns")</f>
        <v>Ns</v>
      </c>
      <c r="M466" s="5" t="str">
        <f>IFERROR(__xludf.DUMMYFUNCTION("IF(T466&lt;&gt;"""", GOOGLETRANSLATE(T466, ""RO"", ""EN""), """")"),"No.")</f>
        <v>No.</v>
      </c>
      <c r="N466" s="5" t="str">
        <f>IFERROR(__xludf.DUMMYFUNCTION("IF(Y466&lt;&gt;"""", GOOGLETRANSLATE(Y466, ""RO"", ""EN""), """")"),"")</f>
        <v/>
      </c>
      <c r="P466" s="4" t="s">
        <v>1392</v>
      </c>
      <c r="Q466" s="4" t="s">
        <v>1393</v>
      </c>
      <c r="R466" s="4" t="s">
        <v>1394</v>
      </c>
      <c r="S466" s="4" t="s">
        <v>103</v>
      </c>
      <c r="T466" s="4" t="s">
        <v>104</v>
      </c>
      <c r="U466" s="4" t="s">
        <v>1395</v>
      </c>
    </row>
    <row r="467" ht="15.75" customHeight="1">
      <c r="A467" s="4" t="s">
        <v>1396</v>
      </c>
      <c r="B467" s="4" t="s">
        <v>1397</v>
      </c>
      <c r="C467" s="4" t="str">
        <f>IFERROR(__xludf.DUMMYFUNCTION("GOOGLETRANSLATE(B467, ""RO"", ""EN"")"),"In general, are you very pleased, quite satisfied, not too pleased or at all satisfied with the way democracy works in Romania?")</f>
        <v>In general, are you very pleased, quite satisfied, not too pleased or at all satisfied with the way democracy works in Romania?</v>
      </c>
      <c r="D467" s="5" t="str">
        <f>IFERROR(__xludf.DUMMYFUNCTION("IF(O467&lt;&gt;"""", GOOGLETRANSLATE(O467, ""RO"", ""EN""), """")"),"")</f>
        <v/>
      </c>
      <c r="E467" s="6" t="str">
        <f>IFERROR(__xludf.DUMMYFUNCTION("IF(P467&lt;&gt;"""", GOOGLETRANSLATE(P467, ""RO"", ""EN""), """")"),"Very pleased")</f>
        <v>Very pleased</v>
      </c>
      <c r="F467" s="5" t="str">
        <f>IFERROR(__xludf.DUMMYFUNCTION("IF(Q467&lt;&gt;"""", GOOGLETRANSLATE(Q467, ""RO"", ""EN""), """")"),"Quite satisfied")</f>
        <v>Quite satisfied</v>
      </c>
      <c r="G467" s="5" t="str">
        <f>IFERROR(__xludf.DUMMYFUNCTION("IF(R467&lt;&gt;"""", GOOGLETRANSLATE(R467, ""RO"", ""EN""), """")"),"Not too pleased")</f>
        <v>Not too pleased</v>
      </c>
      <c r="H467" s="5" t="str">
        <f>IFERROR(__xludf.DUMMYFUNCTION("IF(U467&lt;&gt;"""", GOOGLETRANSLATE(U467, ""RO"", ""EN""), """")"),"Not satisfied")</f>
        <v>Not satisfied</v>
      </c>
      <c r="I467" s="5" t="str">
        <f>IFERROR(__xludf.DUMMYFUNCTION("IF(V467&lt;&gt;"""", GOOGLETRANSLATE(V467, ""RO"", ""EN""), """")"),"")</f>
        <v/>
      </c>
      <c r="J467" s="5" t="str">
        <f>IFERROR(__xludf.DUMMYFUNCTION("IF(W467&lt;&gt;"""", GOOGLETRANSLATE(W467, ""RO"", ""EN""), """")"),"")</f>
        <v/>
      </c>
      <c r="K467" s="5" t="str">
        <f>IFERROR(__xludf.DUMMYFUNCTION("IF(X467&lt;&gt;"""", GOOGLETRANSLATE(X467, ""RO"", ""EN""), """")"),"")</f>
        <v/>
      </c>
      <c r="L467" s="5" t="str">
        <f>IFERROR(__xludf.DUMMYFUNCTION("IF(S467&lt;&gt;"""", GOOGLETRANSLATE(S467, ""RO"", ""EN""), """")"),"Ns")</f>
        <v>Ns</v>
      </c>
      <c r="M467" s="5" t="str">
        <f>IFERROR(__xludf.DUMMYFUNCTION("IF(T467&lt;&gt;"""", GOOGLETRANSLATE(T467, ""RO"", ""EN""), """")"),"No.")</f>
        <v>No.</v>
      </c>
      <c r="N467" s="5" t="str">
        <f>IFERROR(__xludf.DUMMYFUNCTION("IF(Y467&lt;&gt;"""", GOOGLETRANSLATE(Y467, ""RO"", ""EN""), """")"),"")</f>
        <v/>
      </c>
      <c r="P467" s="4" t="s">
        <v>110</v>
      </c>
      <c r="Q467" s="4" t="s">
        <v>109</v>
      </c>
      <c r="R467" s="4" t="s">
        <v>108</v>
      </c>
      <c r="S467" s="4" t="s">
        <v>103</v>
      </c>
      <c r="T467" s="4" t="s">
        <v>104</v>
      </c>
      <c r="U467" s="4" t="s">
        <v>107</v>
      </c>
    </row>
    <row r="468" ht="15.75" customHeight="1">
      <c r="A468" s="4" t="s">
        <v>1398</v>
      </c>
      <c r="B468" s="4" t="s">
        <v>721</v>
      </c>
      <c r="C468" s="4" t="str">
        <f>IFERROR(__xludf.DUMMYFUNCTION("GOOGLETRANSLATE(B468, ""RO"", ""EN"")"),"Would you tell about yourself that you feel close to a certain political formation?")</f>
        <v>Would you tell about yourself that you feel close to a certain political formation?</v>
      </c>
      <c r="D468" s="5" t="str">
        <f>IFERROR(__xludf.DUMMYFUNCTION("IF(O468&lt;&gt;"""", GOOGLETRANSLATE(O468, ""RO"", ""EN""), """")"),"")</f>
        <v/>
      </c>
      <c r="E468" s="6" t="str">
        <f>IFERROR(__xludf.DUMMYFUNCTION("IF(P468&lt;&gt;"""", GOOGLETRANSLATE(P468, ""RO"", ""EN""), """")"),"Yes")</f>
        <v>Yes</v>
      </c>
      <c r="F468" s="5" t="str">
        <f>IFERROR(__xludf.DUMMYFUNCTION("IF(Q468&lt;&gt;"""", GOOGLETRANSLATE(Q468, ""RO"", ""EN""), """")"),"Not")</f>
        <v>Not</v>
      </c>
      <c r="G468" s="5" t="str">
        <f>IFERROR(__xludf.DUMMYFUNCTION("IF(R468&lt;&gt;"""", GOOGLETRANSLATE(R468, ""RO"", ""EN""), """")"),"")</f>
        <v/>
      </c>
      <c r="H468" s="5" t="str">
        <f>IFERROR(__xludf.DUMMYFUNCTION("IF(U468&lt;&gt;"""", GOOGLETRANSLATE(U468, ""RO"", ""EN""), """")"),"")</f>
        <v/>
      </c>
      <c r="I468" s="5" t="str">
        <f>IFERROR(__xludf.DUMMYFUNCTION("IF(V468&lt;&gt;"""", GOOGLETRANSLATE(V468, ""RO"", ""EN""), """")"),"")</f>
        <v/>
      </c>
      <c r="J468" s="5" t="str">
        <f>IFERROR(__xludf.DUMMYFUNCTION("IF(W468&lt;&gt;"""", GOOGLETRANSLATE(W468, ""RO"", ""EN""), """")"),"")</f>
        <v/>
      </c>
      <c r="K468" s="5" t="str">
        <f>IFERROR(__xludf.DUMMYFUNCTION("IF(X468&lt;&gt;"""", GOOGLETRANSLATE(X468, ""RO"", ""EN""), """")"),"")</f>
        <v/>
      </c>
      <c r="L468" s="5" t="str">
        <f>IFERROR(__xludf.DUMMYFUNCTION("IF(S468&lt;&gt;"""", GOOGLETRANSLATE(S468, ""RO"", ""EN""), """")"),"Ns")</f>
        <v>Ns</v>
      </c>
      <c r="M468" s="5" t="str">
        <f>IFERROR(__xludf.DUMMYFUNCTION("IF(T468&lt;&gt;"""", GOOGLETRANSLATE(T468, ""RO"", ""EN""), """")"),"No.")</f>
        <v>No.</v>
      </c>
      <c r="N468" s="5" t="str">
        <f>IFERROR(__xludf.DUMMYFUNCTION("IF(Y468&lt;&gt;"""", GOOGLETRANSLATE(Y468, ""RO"", ""EN""), """")"),"")</f>
        <v/>
      </c>
      <c r="P468" s="4" t="s">
        <v>639</v>
      </c>
      <c r="Q468" s="4" t="s">
        <v>640</v>
      </c>
      <c r="S468" s="4" t="s">
        <v>103</v>
      </c>
      <c r="T468" s="4" t="s">
        <v>104</v>
      </c>
    </row>
    <row r="469" ht="15.75" customHeight="1">
      <c r="A469" s="4" t="s">
        <v>1399</v>
      </c>
      <c r="B469" s="4" t="s">
        <v>1400</v>
      </c>
      <c r="C469" s="4" t="str">
        <f>IFERROR(__xludf.DUMMYFUNCTION("GOOGLETRANSLATE(B469, ""RO"", ""EN"")"),"Is there still a political formation that you feel closer to than the others?")</f>
        <v>Is there still a political formation that you feel closer to than the others?</v>
      </c>
      <c r="D469" s="5" t="str">
        <f>IFERROR(__xludf.DUMMYFUNCTION("IF(O469&lt;&gt;"""", GOOGLETRANSLATE(O469, ""RO"", ""EN""), """")"),"")</f>
        <v/>
      </c>
      <c r="E469" s="6" t="str">
        <f>IFERROR(__xludf.DUMMYFUNCTION("IF(P469&lt;&gt;"""", GOOGLETRANSLATE(P469, ""RO"", ""EN""), """")"),"Yes")</f>
        <v>Yes</v>
      </c>
      <c r="F469" s="5" t="str">
        <f>IFERROR(__xludf.DUMMYFUNCTION("IF(Q469&lt;&gt;"""", GOOGLETRANSLATE(Q469, ""RO"", ""EN""), """")"),"Not")</f>
        <v>Not</v>
      </c>
      <c r="G469" s="5" t="str">
        <f>IFERROR(__xludf.DUMMYFUNCTION("IF(R469&lt;&gt;"""", GOOGLETRANSLATE(R469, ""RO"", ""EN""), """")"),"")</f>
        <v/>
      </c>
      <c r="H469" s="5" t="str">
        <f>IFERROR(__xludf.DUMMYFUNCTION("IF(U469&lt;&gt;"""", GOOGLETRANSLATE(U469, ""RO"", ""EN""), """")"),"")</f>
        <v/>
      </c>
      <c r="I469" s="5" t="str">
        <f>IFERROR(__xludf.DUMMYFUNCTION("IF(V469&lt;&gt;"""", GOOGLETRANSLATE(V469, ""RO"", ""EN""), """")"),"")</f>
        <v/>
      </c>
      <c r="J469" s="5" t="str">
        <f>IFERROR(__xludf.DUMMYFUNCTION("IF(W469&lt;&gt;"""", GOOGLETRANSLATE(W469, ""RO"", ""EN""), """")"),"")</f>
        <v/>
      </c>
      <c r="K469" s="5" t="str">
        <f>IFERROR(__xludf.DUMMYFUNCTION("IF(X469&lt;&gt;"""", GOOGLETRANSLATE(X469, ""RO"", ""EN""), """")"),"")</f>
        <v/>
      </c>
      <c r="L469" s="5" t="str">
        <f>IFERROR(__xludf.DUMMYFUNCTION("IF(S469&lt;&gt;"""", GOOGLETRANSLATE(S469, ""RO"", ""EN""), """")"),"Ns")</f>
        <v>Ns</v>
      </c>
      <c r="M469" s="5" t="str">
        <f>IFERROR(__xludf.DUMMYFUNCTION("IF(T469&lt;&gt;"""", GOOGLETRANSLATE(T469, ""RO"", ""EN""), """")"),"No.")</f>
        <v>No.</v>
      </c>
      <c r="N469" s="5" t="str">
        <f>IFERROR(__xludf.DUMMYFUNCTION("IF(Y469&lt;&gt;"""", GOOGLETRANSLATE(Y469, ""RO"", ""EN""), """")"),"")</f>
        <v/>
      </c>
      <c r="P469" s="4" t="s">
        <v>639</v>
      </c>
      <c r="Q469" s="4" t="s">
        <v>640</v>
      </c>
      <c r="S469" s="4" t="s">
        <v>103</v>
      </c>
      <c r="T469" s="4" t="s">
        <v>104</v>
      </c>
    </row>
    <row r="470" ht="15.75" customHeight="1">
      <c r="A470" s="4" t="s">
        <v>1401</v>
      </c>
      <c r="B470" s="4" t="s">
        <v>725</v>
      </c>
      <c r="C470" s="4" t="str">
        <f>IFERROR(__xludf.DUMMYFUNCTION("GOOGLETRANSLATE(B470, ""RO"", ""EN"")"),"What is the political formation you feel the nearest?")</f>
        <v>What is the political formation you feel the nearest?</v>
      </c>
      <c r="D470" s="5" t="str">
        <f>IFERROR(__xludf.DUMMYFUNCTION("IF(O470&lt;&gt;"""", GOOGLETRANSLATE(O470, ""RO"", ""EN""), """")"),"")</f>
        <v/>
      </c>
      <c r="E470" s="6" t="str">
        <f>IFERROR(__xludf.DUMMYFUNCTION("IF(P470&lt;&gt;"""", GOOGLETRANSLATE(P470, ""RO"", ""EN""), """")"),"")</f>
        <v/>
      </c>
      <c r="F470" s="5" t="str">
        <f>IFERROR(__xludf.DUMMYFUNCTION("IF(Q470&lt;&gt;"""", GOOGLETRANSLATE(Q470, ""RO"", ""EN""), """")"),"")</f>
        <v/>
      </c>
      <c r="G470" s="5" t="str">
        <f>IFERROR(__xludf.DUMMYFUNCTION("IF(R470&lt;&gt;"""", GOOGLETRANSLATE(R470, ""RO"", ""EN""), """")"),"")</f>
        <v/>
      </c>
      <c r="H470" s="5" t="str">
        <f>IFERROR(__xludf.DUMMYFUNCTION("IF(U470&lt;&gt;"""", GOOGLETRANSLATE(U470, ""RO"", ""EN""), """")"),"")</f>
        <v/>
      </c>
      <c r="I470" s="5" t="str">
        <f>IFERROR(__xludf.DUMMYFUNCTION("IF(V470&lt;&gt;"""", GOOGLETRANSLATE(V470, ""RO"", ""EN""), """")"),"")</f>
        <v/>
      </c>
      <c r="J470" s="5" t="str">
        <f>IFERROR(__xludf.DUMMYFUNCTION("IF(W470&lt;&gt;"""", GOOGLETRANSLATE(W470, ""RO"", ""EN""), """")"),"")</f>
        <v/>
      </c>
      <c r="K470" s="5" t="str">
        <f>IFERROR(__xludf.DUMMYFUNCTION("IF(X470&lt;&gt;"""", GOOGLETRANSLATE(X470, ""RO"", ""EN""), """")"),"")</f>
        <v/>
      </c>
      <c r="L470" s="5" t="str">
        <f>IFERROR(__xludf.DUMMYFUNCTION("IF(S470&lt;&gt;"""", GOOGLETRANSLATE(S470, ""RO"", ""EN""), """")"),"")</f>
        <v/>
      </c>
      <c r="M470" s="5" t="str">
        <f>IFERROR(__xludf.DUMMYFUNCTION("IF(T470&lt;&gt;"""", GOOGLETRANSLATE(T470, ""RO"", ""EN""), """")"),"")</f>
        <v/>
      </c>
      <c r="N470" s="5" t="str">
        <f>IFERROR(__xludf.DUMMYFUNCTION("IF(Y470&lt;&gt;"""", GOOGLETRANSLATE(Y470, ""RO"", ""EN""), """")"),"")</f>
        <v/>
      </c>
    </row>
    <row r="471" ht="15.75" customHeight="1">
      <c r="A471" s="4" t="s">
        <v>1402</v>
      </c>
      <c r="B471" s="4" t="s">
        <v>1403</v>
      </c>
      <c r="C471" s="4" t="str">
        <f>IFERROR(__xludf.DUMMYFUNCTION("GOOGLETRANSLATE(B471, ""RO"", ""EN"")"),"How close do you feel about this political formation? Very close? Somewhat close? Not very close?")</f>
        <v>How close do you feel about this political formation? Very close? Somewhat close? Not very close?</v>
      </c>
      <c r="D471" s="5" t="str">
        <f>IFERROR(__xludf.DUMMYFUNCTION("IF(O471&lt;&gt;"""", GOOGLETRANSLATE(O471, ""RO"", ""EN""), """")"),"")</f>
        <v/>
      </c>
      <c r="E471" s="6" t="str">
        <f>IFERROR(__xludf.DUMMYFUNCTION("IF(P471&lt;&gt;"""", GOOGLETRANSLATE(P471, ""RO"", ""EN""), """")"),"Very close")</f>
        <v>Very close</v>
      </c>
      <c r="F471" s="5" t="str">
        <f>IFERROR(__xludf.DUMMYFUNCTION("IF(Q471&lt;&gt;"""", GOOGLETRANSLATE(Q471, ""RO"", ""EN""), """")"),"Somewhat close")</f>
        <v>Somewhat close</v>
      </c>
      <c r="G471" s="5" t="str">
        <f>IFERROR(__xludf.DUMMYFUNCTION("IF(R471&lt;&gt;"""", GOOGLETRANSLATE(R471, ""RO"", ""EN""), """")"),"Not very close")</f>
        <v>Not very close</v>
      </c>
      <c r="H471" s="5" t="str">
        <f>IFERROR(__xludf.DUMMYFUNCTION("IF(U471&lt;&gt;"""", GOOGLETRANSLATE(U471, ""RO"", ""EN""), """")"),"")</f>
        <v/>
      </c>
      <c r="I471" s="5" t="str">
        <f>IFERROR(__xludf.DUMMYFUNCTION("IF(V471&lt;&gt;"""", GOOGLETRANSLATE(V471, ""RO"", ""EN""), """")"),"")</f>
        <v/>
      </c>
      <c r="J471" s="5" t="str">
        <f>IFERROR(__xludf.DUMMYFUNCTION("IF(W471&lt;&gt;"""", GOOGLETRANSLATE(W471, ""RO"", ""EN""), """")"),"")</f>
        <v/>
      </c>
      <c r="K471" s="5" t="str">
        <f>IFERROR(__xludf.DUMMYFUNCTION("IF(X471&lt;&gt;"""", GOOGLETRANSLATE(X471, ""RO"", ""EN""), """")"),"")</f>
        <v/>
      </c>
      <c r="L471" s="5" t="str">
        <f>IFERROR(__xludf.DUMMYFUNCTION("IF(S471&lt;&gt;"""", GOOGLETRANSLATE(S471, ""RO"", ""EN""), """")"),"Ns")</f>
        <v>Ns</v>
      </c>
      <c r="M471" s="5" t="str">
        <f>IFERROR(__xludf.DUMMYFUNCTION("IF(T471&lt;&gt;"""", GOOGLETRANSLATE(T471, ""RO"", ""EN""), """")"),"No.")</f>
        <v>No.</v>
      </c>
      <c r="N471" s="5" t="str">
        <f>IFERROR(__xludf.DUMMYFUNCTION("IF(Y471&lt;&gt;"""", GOOGLETRANSLATE(Y471, ""RO"", ""EN""), """")"),"")</f>
        <v/>
      </c>
      <c r="P471" s="4" t="s">
        <v>728</v>
      </c>
      <c r="Q471" s="4" t="s">
        <v>729</v>
      </c>
      <c r="R471" s="4" t="s">
        <v>730</v>
      </c>
      <c r="S471" s="4" t="s">
        <v>103</v>
      </c>
      <c r="T471" s="4" t="s">
        <v>104</v>
      </c>
    </row>
    <row r="472" ht="15.75" customHeight="1">
      <c r="A472" s="4" t="s">
        <v>1404</v>
      </c>
      <c r="B472" s="4" t="s">
        <v>1405</v>
      </c>
      <c r="C472" s="4" t="str">
        <f>IFERROR(__xludf.DUMMYFUNCTION("GOOGLETRANSLATE(B472, ""RO"", ""EN"")"),"For various reasons, many people were missing from the 1st of the presidential elections on November 22, 2009, while others voted. Which of the following statements fits in your case?")</f>
        <v>For various reasons, many people were missing from the 1st of the presidential elections on November 22, 2009, while others voted. Which of the following statements fits in your case?</v>
      </c>
      <c r="D472" s="5" t="str">
        <f>IFERROR(__xludf.DUMMYFUNCTION("IF(O472&lt;&gt;"""", GOOGLETRANSLATE(O472, ""RO"", ""EN""), """")"),"")</f>
        <v/>
      </c>
      <c r="E472" s="6" t="str">
        <f>IFERROR(__xludf.DUMMYFUNCTION("IF(P472&lt;&gt;"""", GOOGLETRANSLATE(P472, ""RO"", ""EN""), """")"),"I did not vote at round 1 of presidential elections of 22 no")</f>
        <v>I did not vote at round 1 of presidential elections of 22 no</v>
      </c>
      <c r="F472" s="5" t="str">
        <f>IFERROR(__xludf.DUMMYFUNCTION("IF(Q472&lt;&gt;"""", GOOGLETRANSLATE(Q472, ""RO"", ""EN""), """")"),"I thought of voting this time but I didn't vote")</f>
        <v>I thought of voting this time but I didn't vote</v>
      </c>
      <c r="G472" s="5" t="str">
        <f>IFERROR(__xludf.DUMMYFUNCTION("IF(R472&lt;&gt;"""", GOOGLETRANSLATE(R472, ""RO"", ""EN""), """")"),"I usually vote but this time I didn't vote")</f>
        <v>I usually vote but this time I didn't vote</v>
      </c>
      <c r="H472" s="5" t="str">
        <f>IFERROR(__xludf.DUMMYFUNCTION("IF(U472&lt;&gt;"""", GOOGLETRANSLATE(U472, ""RO"", ""EN""), """")"),"I'm sure I voted")</f>
        <v>I'm sure I voted</v>
      </c>
      <c r="I472" s="5" t="str">
        <f>IFERROR(__xludf.DUMMYFUNCTION("IF(V472&lt;&gt;"""", GOOGLETRANSLATE(V472, ""RO"", ""EN""), """")"),"")</f>
        <v/>
      </c>
      <c r="J472" s="5" t="str">
        <f>IFERROR(__xludf.DUMMYFUNCTION("IF(W472&lt;&gt;"""", GOOGLETRANSLATE(W472, ""RO"", ""EN""), """")"),"")</f>
        <v/>
      </c>
      <c r="K472" s="5" t="str">
        <f>IFERROR(__xludf.DUMMYFUNCTION("IF(X472&lt;&gt;"""", GOOGLETRANSLATE(X472, ""RO"", ""EN""), """")"),"")</f>
        <v/>
      </c>
      <c r="L472" s="5" t="str">
        <f>IFERROR(__xludf.DUMMYFUNCTION("IF(S472&lt;&gt;"""", GOOGLETRANSLATE(S472, ""RO"", ""EN""), """")"),"Ns")</f>
        <v>Ns</v>
      </c>
      <c r="M472" s="5" t="str">
        <f>IFERROR(__xludf.DUMMYFUNCTION("IF(T472&lt;&gt;"""", GOOGLETRANSLATE(T472, ""RO"", ""EN""), """")"),"No.")</f>
        <v>No.</v>
      </c>
      <c r="N472" s="5" t="str">
        <f>IFERROR(__xludf.DUMMYFUNCTION("IF(Y472&lt;&gt;"""", GOOGLETRANSLATE(Y472, ""RO"", ""EN""), """")"),"")</f>
        <v/>
      </c>
      <c r="P472" s="4" t="s">
        <v>1406</v>
      </c>
      <c r="Q472" s="4" t="s">
        <v>1407</v>
      </c>
      <c r="R472" s="4" t="s">
        <v>1408</v>
      </c>
      <c r="S472" s="4" t="s">
        <v>103</v>
      </c>
      <c r="T472" s="4" t="s">
        <v>104</v>
      </c>
      <c r="U472" s="4" t="s">
        <v>1409</v>
      </c>
    </row>
    <row r="473" ht="15.75" customHeight="1">
      <c r="A473" s="4" t="s">
        <v>1410</v>
      </c>
      <c r="B473" s="4" t="s">
        <v>1411</v>
      </c>
      <c r="C473" s="4" t="str">
        <f>IFERROR(__xludf.DUMMYFUNCTION("GOOGLETRANSLATE(B473, ""RO"", ""EN"")"),"For various reasons, about half of the people were missing from the 1st of the presidential elections on November 22, 2009, while others voted. Which of the following statements fits in your case?")</f>
        <v>For various reasons, about half of the people were missing from the 1st of the presidential elections on November 22, 2009, while others voted. Which of the following statements fits in your case?</v>
      </c>
      <c r="D473" s="5" t="str">
        <f>IFERROR(__xludf.DUMMYFUNCTION("IF(O473&lt;&gt;"""", GOOGLETRANSLATE(O473, ""RO"", ""EN""), """")"),"")</f>
        <v/>
      </c>
      <c r="E473" s="6" t="str">
        <f>IFERROR(__xludf.DUMMYFUNCTION("IF(P473&lt;&gt;"""", GOOGLETRANSLATE(P473, ""RO"", ""EN""), """")"),"I did not vote at round 1 of presidential elections of 22 no")</f>
        <v>I did not vote at round 1 of presidential elections of 22 no</v>
      </c>
      <c r="F473" s="5" t="str">
        <f>IFERROR(__xludf.DUMMYFUNCTION("IF(Q473&lt;&gt;"""", GOOGLETRANSLATE(Q473, ""RO"", ""EN""), """")"),"I thought of voting this time but I didn't vote")</f>
        <v>I thought of voting this time but I didn't vote</v>
      </c>
      <c r="G473" s="5" t="str">
        <f>IFERROR(__xludf.DUMMYFUNCTION("IF(R473&lt;&gt;"""", GOOGLETRANSLATE(R473, ""RO"", ""EN""), """")"),"I usually vote but this time I didn't vote")</f>
        <v>I usually vote but this time I didn't vote</v>
      </c>
      <c r="H473" s="5" t="str">
        <f>IFERROR(__xludf.DUMMYFUNCTION("IF(U473&lt;&gt;"""", GOOGLETRANSLATE(U473, ""RO"", ""EN""), """")"),"I'm sure I voted")</f>
        <v>I'm sure I voted</v>
      </c>
      <c r="I473" s="5" t="str">
        <f>IFERROR(__xludf.DUMMYFUNCTION("IF(V473&lt;&gt;"""", GOOGLETRANSLATE(V473, ""RO"", ""EN""), """")"),"")</f>
        <v/>
      </c>
      <c r="J473" s="5" t="str">
        <f>IFERROR(__xludf.DUMMYFUNCTION("IF(W473&lt;&gt;"""", GOOGLETRANSLATE(W473, ""RO"", ""EN""), """")"),"")</f>
        <v/>
      </c>
      <c r="K473" s="5" t="str">
        <f>IFERROR(__xludf.DUMMYFUNCTION("IF(X473&lt;&gt;"""", GOOGLETRANSLATE(X473, ""RO"", ""EN""), """")"),"")</f>
        <v/>
      </c>
      <c r="L473" s="5" t="str">
        <f>IFERROR(__xludf.DUMMYFUNCTION("IF(S473&lt;&gt;"""", GOOGLETRANSLATE(S473, ""RO"", ""EN""), """")"),"Ns")</f>
        <v>Ns</v>
      </c>
      <c r="M473" s="5" t="str">
        <f>IFERROR(__xludf.DUMMYFUNCTION("IF(T473&lt;&gt;"""", GOOGLETRANSLATE(T473, ""RO"", ""EN""), """")"),"No.")</f>
        <v>No.</v>
      </c>
      <c r="N473" s="5" t="str">
        <f>IFERROR(__xludf.DUMMYFUNCTION("IF(Y473&lt;&gt;"""", GOOGLETRANSLATE(Y473, ""RO"", ""EN""), """")"),"")</f>
        <v/>
      </c>
      <c r="P473" s="4" t="s">
        <v>1406</v>
      </c>
      <c r="Q473" s="4" t="s">
        <v>1407</v>
      </c>
      <c r="R473" s="4" t="s">
        <v>1408</v>
      </c>
      <c r="S473" s="4" t="s">
        <v>103</v>
      </c>
      <c r="T473" s="4" t="s">
        <v>104</v>
      </c>
      <c r="U473" s="4" t="s">
        <v>1409</v>
      </c>
    </row>
    <row r="474" ht="15.75" customHeight="1">
      <c r="A474" s="4" t="s">
        <v>1412</v>
      </c>
      <c r="B474" s="4" t="s">
        <v>1413</v>
      </c>
      <c r="C474" s="4" t="str">
        <f>IFERROR(__xludf.DUMMYFUNCTION("GOOGLETRANSLATE(B474, ""RO"", ""EN"")"),"For various reasons, about one in two people was missing from the 1st of the presidential elections on November 22, 2009, while others voted. Which of the following statements fits in your case?")</f>
        <v>For various reasons, about one in two people was missing from the 1st of the presidential elections on November 22, 2009, while others voted. Which of the following statements fits in your case?</v>
      </c>
      <c r="D474" s="5" t="str">
        <f>IFERROR(__xludf.DUMMYFUNCTION("IF(O474&lt;&gt;"""", GOOGLETRANSLATE(O474, ""RO"", ""EN""), """")"),"")</f>
        <v/>
      </c>
      <c r="E474" s="6" t="str">
        <f>IFERROR(__xludf.DUMMYFUNCTION("IF(P474&lt;&gt;"""", GOOGLETRANSLATE(P474, ""RO"", ""EN""), """")"),"I did not vote at round 1 of presidential elections of 22 no")</f>
        <v>I did not vote at round 1 of presidential elections of 22 no</v>
      </c>
      <c r="F474" s="5" t="str">
        <f>IFERROR(__xludf.DUMMYFUNCTION("IF(Q474&lt;&gt;"""", GOOGLETRANSLATE(Q474, ""RO"", ""EN""), """")"),"I thought of voting this time but I didn't vote")</f>
        <v>I thought of voting this time but I didn't vote</v>
      </c>
      <c r="G474" s="5" t="str">
        <f>IFERROR(__xludf.DUMMYFUNCTION("IF(R474&lt;&gt;"""", GOOGLETRANSLATE(R474, ""RO"", ""EN""), """")"),"I usually vote but this time I didn't vote")</f>
        <v>I usually vote but this time I didn't vote</v>
      </c>
      <c r="H474" s="5" t="str">
        <f>IFERROR(__xludf.DUMMYFUNCTION("IF(U474&lt;&gt;"""", GOOGLETRANSLATE(U474, ""RO"", ""EN""), """")"),"I'm sure I voted")</f>
        <v>I'm sure I voted</v>
      </c>
      <c r="I474" s="5" t="str">
        <f>IFERROR(__xludf.DUMMYFUNCTION("IF(V474&lt;&gt;"""", GOOGLETRANSLATE(V474, ""RO"", ""EN""), """")"),"")</f>
        <v/>
      </c>
      <c r="J474" s="5" t="str">
        <f>IFERROR(__xludf.DUMMYFUNCTION("IF(W474&lt;&gt;"""", GOOGLETRANSLATE(W474, ""RO"", ""EN""), """")"),"")</f>
        <v/>
      </c>
      <c r="K474" s="5" t="str">
        <f>IFERROR(__xludf.DUMMYFUNCTION("IF(X474&lt;&gt;"""", GOOGLETRANSLATE(X474, ""RO"", ""EN""), """")"),"")</f>
        <v/>
      </c>
      <c r="L474" s="5" t="str">
        <f>IFERROR(__xludf.DUMMYFUNCTION("IF(S474&lt;&gt;"""", GOOGLETRANSLATE(S474, ""RO"", ""EN""), """")"),"Ns")</f>
        <v>Ns</v>
      </c>
      <c r="M474" s="5" t="str">
        <f>IFERROR(__xludf.DUMMYFUNCTION("IF(T474&lt;&gt;"""", GOOGLETRANSLATE(T474, ""RO"", ""EN""), """")"),"No.")</f>
        <v>No.</v>
      </c>
      <c r="N474" s="5" t="str">
        <f>IFERROR(__xludf.DUMMYFUNCTION("IF(Y474&lt;&gt;"""", GOOGLETRANSLATE(Y474, ""RO"", ""EN""), """")"),"")</f>
        <v/>
      </c>
      <c r="P474" s="4" t="s">
        <v>1406</v>
      </c>
      <c r="Q474" s="4" t="s">
        <v>1407</v>
      </c>
      <c r="R474" s="4" t="s">
        <v>1408</v>
      </c>
      <c r="S474" s="4" t="s">
        <v>103</v>
      </c>
      <c r="T474" s="4" t="s">
        <v>104</v>
      </c>
      <c r="U474" s="4" t="s">
        <v>1409</v>
      </c>
    </row>
    <row r="475" ht="15.75" customHeight="1">
      <c r="A475" s="4" t="s">
        <v>1414</v>
      </c>
      <c r="B475" s="4" t="s">
        <v>1415</v>
      </c>
      <c r="C475" s="4" t="str">
        <f>IFERROR(__xludf.DUMMYFUNCTION("GOOGLETRANSLATE(B475, ""RO"", ""EN"")"),"Participation declared to vote - Tour 1")</f>
        <v>Participation declared to vote - Tour 1</v>
      </c>
      <c r="D475" s="5" t="str">
        <f>IFERROR(__xludf.DUMMYFUNCTION("IF(O475&lt;&gt;"""", GOOGLETRANSLATE(O475, ""RO"", ""EN""), """")"),"")</f>
        <v/>
      </c>
      <c r="E475" s="6" t="str">
        <f>IFERROR(__xludf.DUMMYFUNCTION("IF(P475&lt;&gt;"""", GOOGLETRANSLATE(P475, ""RO"", ""EN""), """")"),"I did not vote at round 1 of presidential elections of 22 no")</f>
        <v>I did not vote at round 1 of presidential elections of 22 no</v>
      </c>
      <c r="F475" s="5" t="str">
        <f>IFERROR(__xludf.DUMMYFUNCTION("IF(Q475&lt;&gt;"""", GOOGLETRANSLATE(Q475, ""RO"", ""EN""), """")"),"I thought of voting this time but I didn't vote")</f>
        <v>I thought of voting this time but I didn't vote</v>
      </c>
      <c r="G475" s="5" t="str">
        <f>IFERROR(__xludf.DUMMYFUNCTION("IF(R475&lt;&gt;"""", GOOGLETRANSLATE(R475, ""RO"", ""EN""), """")"),"I usually vote but this time I didn't vote")</f>
        <v>I usually vote but this time I didn't vote</v>
      </c>
      <c r="H475" s="5" t="str">
        <f>IFERROR(__xludf.DUMMYFUNCTION("IF(U475&lt;&gt;"""", GOOGLETRANSLATE(U475, ""RO"", ""EN""), """")"),"I'm sure I voted")</f>
        <v>I'm sure I voted</v>
      </c>
      <c r="I475" s="5" t="str">
        <f>IFERROR(__xludf.DUMMYFUNCTION("IF(V475&lt;&gt;"""", GOOGLETRANSLATE(V475, ""RO"", ""EN""), """")"),"")</f>
        <v/>
      </c>
      <c r="J475" s="5" t="str">
        <f>IFERROR(__xludf.DUMMYFUNCTION("IF(W475&lt;&gt;"""", GOOGLETRANSLATE(W475, ""RO"", ""EN""), """")"),"")</f>
        <v/>
      </c>
      <c r="K475" s="5" t="str">
        <f>IFERROR(__xludf.DUMMYFUNCTION("IF(X475&lt;&gt;"""", GOOGLETRANSLATE(X475, ""RO"", ""EN""), """")"),"")</f>
        <v/>
      </c>
      <c r="L475" s="5" t="str">
        <f>IFERROR(__xludf.DUMMYFUNCTION("IF(S475&lt;&gt;"""", GOOGLETRANSLATE(S475, ""RO"", ""EN""), """")"),"Ns")</f>
        <v>Ns</v>
      </c>
      <c r="M475" s="5" t="str">
        <f>IFERROR(__xludf.DUMMYFUNCTION("IF(T475&lt;&gt;"""", GOOGLETRANSLATE(T475, ""RO"", ""EN""), """")"),"No.")</f>
        <v>No.</v>
      </c>
      <c r="N475" s="5" t="str">
        <f>IFERROR(__xludf.DUMMYFUNCTION("IF(Y475&lt;&gt;"""", GOOGLETRANSLATE(Y475, ""RO"", ""EN""), """")"),"")</f>
        <v/>
      </c>
      <c r="P475" s="4" t="s">
        <v>1406</v>
      </c>
      <c r="Q475" s="4" t="s">
        <v>1407</v>
      </c>
      <c r="R475" s="4" t="s">
        <v>1408</v>
      </c>
      <c r="S475" s="4" t="s">
        <v>103</v>
      </c>
      <c r="T475" s="4" t="s">
        <v>104</v>
      </c>
      <c r="U475" s="4" t="s">
        <v>1409</v>
      </c>
    </row>
    <row r="476" ht="15.75" customHeight="1">
      <c r="A476" s="4" t="s">
        <v>1416</v>
      </c>
      <c r="B476" s="4" t="s">
        <v>1417</v>
      </c>
      <c r="C476" s="4" t="str">
        <f>IFERROR(__xludf.DUMMYFUNCTION("GOOGLETRANSLATE(B476, ""RO"", ""EN"")"),"If you were voted, for which candidate or candidates would you have voted on round 1?")</f>
        <v>If you were voted, for which candidate or candidates would you have voted on round 1?</v>
      </c>
      <c r="D476" s="5" t="str">
        <f>IFERROR(__xludf.DUMMYFUNCTION("IF(O476&lt;&gt;"""", GOOGLETRANSLATE(O476, ""RO"", ""EN""), """")"),"")</f>
        <v/>
      </c>
      <c r="E476" s="6" t="str">
        <f>IFERROR(__xludf.DUMMYFUNCTION("IF(P476&lt;&gt;"""", GOOGLETRANSLATE(P476, ""RO"", ""EN""), """")"),"")</f>
        <v/>
      </c>
      <c r="F476" s="5" t="str">
        <f>IFERROR(__xludf.DUMMYFUNCTION("IF(Q476&lt;&gt;"""", GOOGLETRANSLATE(Q476, ""RO"", ""EN""), """")"),"")</f>
        <v/>
      </c>
      <c r="G476" s="5" t="str">
        <f>IFERROR(__xludf.DUMMYFUNCTION("IF(R476&lt;&gt;"""", GOOGLETRANSLATE(R476, ""RO"", ""EN""), """")"),"")</f>
        <v/>
      </c>
      <c r="H476" s="5" t="str">
        <f>IFERROR(__xludf.DUMMYFUNCTION("IF(U476&lt;&gt;"""", GOOGLETRANSLATE(U476, ""RO"", ""EN""), """")"),"")</f>
        <v/>
      </c>
      <c r="I476" s="5" t="str">
        <f>IFERROR(__xludf.DUMMYFUNCTION("IF(V476&lt;&gt;"""", GOOGLETRANSLATE(V476, ""RO"", ""EN""), """")"),"")</f>
        <v/>
      </c>
      <c r="J476" s="5" t="str">
        <f>IFERROR(__xludf.DUMMYFUNCTION("IF(W476&lt;&gt;"""", GOOGLETRANSLATE(W476, ""RO"", ""EN""), """")"),"")</f>
        <v/>
      </c>
      <c r="K476" s="5" t="str">
        <f>IFERROR(__xludf.DUMMYFUNCTION("IF(X476&lt;&gt;"""", GOOGLETRANSLATE(X476, ""RO"", ""EN""), """")"),"")</f>
        <v/>
      </c>
      <c r="L476" s="5" t="str">
        <f>IFERROR(__xludf.DUMMYFUNCTION("IF(S476&lt;&gt;"""", GOOGLETRANSLATE(S476, ""RO"", ""EN""), """")"),"")</f>
        <v/>
      </c>
      <c r="M476" s="5" t="str">
        <f>IFERROR(__xludf.DUMMYFUNCTION("IF(T476&lt;&gt;"""", GOOGLETRANSLATE(T476, ""RO"", ""EN""), """")"),"")</f>
        <v/>
      </c>
      <c r="N476" s="5" t="str">
        <f>IFERROR(__xludf.DUMMYFUNCTION("IF(Y476&lt;&gt;"""", GOOGLETRANSLATE(Y476, ""RO"", ""EN""), """")"),"")</f>
        <v/>
      </c>
    </row>
    <row r="477" ht="15.75" customHeight="1">
      <c r="A477" s="4" t="s">
        <v>1418</v>
      </c>
      <c r="B477" s="4" t="s">
        <v>1419</v>
      </c>
      <c r="C477" s="4" t="str">
        <f>IFERROR(__xludf.DUMMYFUNCTION("GOOGLETRANSLATE(B477, ""RO"", ""EN"")"),"Who did you vote for the president for tour 1?")</f>
        <v>Who did you vote for the president for tour 1?</v>
      </c>
      <c r="D477" s="5" t="str">
        <f>IFERROR(__xludf.DUMMYFUNCTION("IF(O477&lt;&gt;"""", GOOGLETRANSLATE(O477, ""RO"", ""EN""), """")"),"")</f>
        <v/>
      </c>
      <c r="E477" s="6" t="str">
        <f>IFERROR(__xludf.DUMMYFUNCTION("IF(P477&lt;&gt;"""", GOOGLETRANSLATE(P477, ""RO"", ""EN""), """")"),"Mircea Geoana")</f>
        <v>Mircea Geoana</v>
      </c>
      <c r="F477" s="5" t="str">
        <f>IFERROR(__xludf.DUMMYFUNCTION("IF(Q477&lt;&gt;"""", GOOGLETRANSLATE(Q477, ""RO"", ""EN""), """")"),"Crin Antonescu")</f>
        <v>Crin Antonescu</v>
      </c>
      <c r="G477" s="5" t="str">
        <f>IFERROR(__xludf.DUMMYFUNCTION("IF(R477&lt;&gt;"""", GOOGLETRANSLATE(R477, ""RO"", ""EN""), """")"),"Traian Basescu")</f>
        <v>Traian Basescu</v>
      </c>
      <c r="H477" s="5" t="str">
        <f>IFERROR(__xludf.DUMMYFUNCTION("IF(U477&lt;&gt;"""", GOOGLETRANSLATE(U477, ""RO"", ""EN""), """")"),"Sorin Oprescu")</f>
        <v>Sorin Oprescu</v>
      </c>
      <c r="I477" s="5" t="str">
        <f>IFERROR(__xludf.DUMMYFUNCTION("IF(V477&lt;&gt;"""", GOOGLETRANSLATE(V477, ""RO"", ""EN""), """")"),"Corneliu Vadim Tudor")</f>
        <v>Corneliu Vadim Tudor</v>
      </c>
      <c r="J477" s="5" t="str">
        <f>IFERROR(__xludf.DUMMYFUNCTION("IF(W477&lt;&gt;"""", GOOGLETRANSLATE(W477, ""RO"", ""EN""), """")"),"Kelemen Hunor")</f>
        <v>Kelemen Hunor</v>
      </c>
      <c r="K477" s="5" t="str">
        <f>IFERROR(__xludf.DUMMYFUNCTION("IF(X477&lt;&gt;"""", GOOGLETRANSLATE(X477, ""RO"", ""EN""), """")"),"George Becali")</f>
        <v>George Becali</v>
      </c>
      <c r="L477" s="5" t="str">
        <f>IFERROR(__xludf.DUMMYFUNCTION("IF(S477&lt;&gt;"""", GOOGLETRANSLATE(S477, ""RO"", ""EN""), """")"),"Another candidate")</f>
        <v>Another candidate</v>
      </c>
      <c r="M477" s="5" t="str">
        <f>IFERROR(__xludf.DUMMYFUNCTION("IF(T477&lt;&gt;"""", GOOGLETRANSLATE(T477, ""RO"", ""EN""), """")"),"")</f>
        <v/>
      </c>
      <c r="N477" s="5" t="str">
        <f>IFERROR(__xludf.DUMMYFUNCTION("IF(Y477&lt;&gt;"""", GOOGLETRANSLATE(Y477, ""RO"", ""EN""), """")"),"")</f>
        <v/>
      </c>
      <c r="P477" s="4" t="s">
        <v>219</v>
      </c>
      <c r="Q477" s="4" t="s">
        <v>220</v>
      </c>
      <c r="R477" s="4" t="s">
        <v>221</v>
      </c>
      <c r="S477" s="4" t="s">
        <v>485</v>
      </c>
      <c r="U477" s="4" t="s">
        <v>223</v>
      </c>
      <c r="V477" s="4" t="s">
        <v>224</v>
      </c>
      <c r="W477" s="4" t="s">
        <v>225</v>
      </c>
      <c r="X477" s="4" t="s">
        <v>226</v>
      </c>
      <c r="AA477" s="4" t="s">
        <v>214</v>
      </c>
      <c r="AB477" s="4" t="s">
        <v>215</v>
      </c>
      <c r="AC477" s="4" t="s">
        <v>488</v>
      </c>
      <c r="AD477" s="4" t="s">
        <v>1173</v>
      </c>
    </row>
    <row r="478" ht="15.75" customHeight="1">
      <c r="A478" s="4" t="s">
        <v>1420</v>
      </c>
      <c r="B478" s="4" t="s">
        <v>1421</v>
      </c>
      <c r="C478" s="4" t="str">
        <f>IFERROR(__xludf.DUMMYFUNCTION("GOOGLETRANSLATE(B478, ""RO"", ""EN"")"),"Have you thought about voting for any other candidate or candidates for round 1?")</f>
        <v>Have you thought about voting for any other candidate or candidates for round 1?</v>
      </c>
      <c r="D478" s="5" t="str">
        <f>IFERROR(__xludf.DUMMYFUNCTION("IF(O478&lt;&gt;"""", GOOGLETRANSLATE(O478, ""RO"", ""EN""), """")"),"")</f>
        <v/>
      </c>
      <c r="E478" s="6" t="str">
        <f>IFERROR(__xludf.DUMMYFUNCTION("IF(P478&lt;&gt;"""", GOOGLETRANSLATE(P478, ""RO"", ""EN""), """")"),"Yes")</f>
        <v>Yes</v>
      </c>
      <c r="F478" s="5" t="str">
        <f>IFERROR(__xludf.DUMMYFUNCTION("IF(Q478&lt;&gt;"""", GOOGLETRANSLATE(Q478, ""RO"", ""EN""), """")"),"Not")</f>
        <v>Not</v>
      </c>
      <c r="G478" s="5" t="str">
        <f>IFERROR(__xludf.DUMMYFUNCTION("IF(R478&lt;&gt;"""", GOOGLETRANSLATE(R478, ""RO"", ""EN""), """")"),"")</f>
        <v/>
      </c>
      <c r="H478" s="5" t="str">
        <f>IFERROR(__xludf.DUMMYFUNCTION("IF(U478&lt;&gt;"""", GOOGLETRANSLATE(U478, ""RO"", ""EN""), """")"),"")</f>
        <v/>
      </c>
      <c r="I478" s="5" t="str">
        <f>IFERROR(__xludf.DUMMYFUNCTION("IF(V478&lt;&gt;"""", GOOGLETRANSLATE(V478, ""RO"", ""EN""), """")"),"")</f>
        <v/>
      </c>
      <c r="J478" s="5" t="str">
        <f>IFERROR(__xludf.DUMMYFUNCTION("IF(W478&lt;&gt;"""", GOOGLETRANSLATE(W478, ""RO"", ""EN""), """")"),"")</f>
        <v/>
      </c>
      <c r="K478" s="5" t="str">
        <f>IFERROR(__xludf.DUMMYFUNCTION("IF(X478&lt;&gt;"""", GOOGLETRANSLATE(X478, ""RO"", ""EN""), """")"),"")</f>
        <v/>
      </c>
      <c r="L478" s="5" t="str">
        <f>IFERROR(__xludf.DUMMYFUNCTION("IF(S478&lt;&gt;"""", GOOGLETRANSLATE(S478, ""RO"", ""EN""), """")"),"Ns")</f>
        <v>Ns</v>
      </c>
      <c r="M478" s="5" t="str">
        <f>IFERROR(__xludf.DUMMYFUNCTION("IF(T478&lt;&gt;"""", GOOGLETRANSLATE(T478, ""RO"", ""EN""), """")"),"No.")</f>
        <v>No.</v>
      </c>
      <c r="N478" s="5" t="str">
        <f>IFERROR(__xludf.DUMMYFUNCTION("IF(Y478&lt;&gt;"""", GOOGLETRANSLATE(Y478, ""RO"", ""EN""), """")"),"")</f>
        <v/>
      </c>
      <c r="P478" s="4" t="s">
        <v>639</v>
      </c>
      <c r="Q478" s="4" t="s">
        <v>640</v>
      </c>
      <c r="S478" s="4" t="s">
        <v>103</v>
      </c>
      <c r="T478" s="4" t="s">
        <v>104</v>
      </c>
    </row>
    <row r="479" ht="15.75" customHeight="1">
      <c r="A479" s="4" t="s">
        <v>1422</v>
      </c>
      <c r="B479" s="4" t="s">
        <v>1423</v>
      </c>
      <c r="C479" s="4" t="str">
        <f>IFERROR(__xludf.DUMMYFUNCTION("GOOGLETRANSLATE(B479, ""RO"", ""EN"")"),"For which candidate or candidates did you think about voting?")</f>
        <v>For which candidate or candidates did you think about voting?</v>
      </c>
      <c r="D479" s="5" t="str">
        <f>IFERROR(__xludf.DUMMYFUNCTION("IF(O479&lt;&gt;"""", GOOGLETRANSLATE(O479, ""RO"", ""EN""), """")"),"")</f>
        <v/>
      </c>
      <c r="E479" s="6" t="str">
        <f>IFERROR(__xludf.DUMMYFUNCTION("IF(P479&lt;&gt;"""", GOOGLETRANSLATE(P479, ""RO"", ""EN""), """")"),"")</f>
        <v/>
      </c>
      <c r="F479" s="5" t="str">
        <f>IFERROR(__xludf.DUMMYFUNCTION("IF(Q479&lt;&gt;"""", GOOGLETRANSLATE(Q479, ""RO"", ""EN""), """")"),"")</f>
        <v/>
      </c>
      <c r="G479" s="5" t="str">
        <f>IFERROR(__xludf.DUMMYFUNCTION("IF(R479&lt;&gt;"""", GOOGLETRANSLATE(R479, ""RO"", ""EN""), """")"),"")</f>
        <v/>
      </c>
      <c r="H479" s="5" t="str">
        <f>IFERROR(__xludf.DUMMYFUNCTION("IF(U479&lt;&gt;"""", GOOGLETRANSLATE(U479, ""RO"", ""EN""), """")"),"")</f>
        <v/>
      </c>
      <c r="I479" s="5" t="str">
        <f>IFERROR(__xludf.DUMMYFUNCTION("IF(V479&lt;&gt;"""", GOOGLETRANSLATE(V479, ""RO"", ""EN""), """")"),"")</f>
        <v/>
      </c>
      <c r="J479" s="5" t="str">
        <f>IFERROR(__xludf.DUMMYFUNCTION("IF(W479&lt;&gt;"""", GOOGLETRANSLATE(W479, ""RO"", ""EN""), """")"),"")</f>
        <v/>
      </c>
      <c r="K479" s="5" t="str">
        <f>IFERROR(__xludf.DUMMYFUNCTION("IF(X479&lt;&gt;"""", GOOGLETRANSLATE(X479, ""RO"", ""EN""), """")"),"")</f>
        <v/>
      </c>
      <c r="L479" s="5" t="str">
        <f>IFERROR(__xludf.DUMMYFUNCTION("IF(S479&lt;&gt;"""", GOOGLETRANSLATE(S479, ""RO"", ""EN""), """")"),"")</f>
        <v/>
      </c>
      <c r="M479" s="5" t="str">
        <f>IFERROR(__xludf.DUMMYFUNCTION("IF(T479&lt;&gt;"""", GOOGLETRANSLATE(T479, ""RO"", ""EN""), """")"),"")</f>
        <v/>
      </c>
      <c r="N479" s="5" t="str">
        <f>IFERROR(__xludf.DUMMYFUNCTION("IF(Y479&lt;&gt;"""", GOOGLETRANSLATE(Y479, ""RO"", ""EN""), """")"),"")</f>
        <v/>
      </c>
    </row>
    <row r="480" ht="15.75" customHeight="1">
      <c r="A480" s="4" t="s">
        <v>1424</v>
      </c>
      <c r="B480" s="4" t="s">
        <v>1425</v>
      </c>
      <c r="C480" s="4" t="str">
        <f>IFERROR(__xludf.DUMMYFUNCTION("GOOGLETRANSLATE(B480, ""RO"", ""EN"")"),"Was there a candidate or candidates for these elections for which you would never vote?")</f>
        <v>Was there a candidate or candidates for these elections for which you would never vote?</v>
      </c>
      <c r="D480" s="5" t="str">
        <f>IFERROR(__xludf.DUMMYFUNCTION("IF(O480&lt;&gt;"""", GOOGLETRANSLATE(O480, ""RO"", ""EN""), """")"),"")</f>
        <v/>
      </c>
      <c r="E480" s="6" t="str">
        <f>IFERROR(__xludf.DUMMYFUNCTION("IF(P480&lt;&gt;"""", GOOGLETRANSLATE(P480, ""RO"", ""EN""), """")"),"Yes")</f>
        <v>Yes</v>
      </c>
      <c r="F480" s="5" t="str">
        <f>IFERROR(__xludf.DUMMYFUNCTION("IF(Q480&lt;&gt;"""", GOOGLETRANSLATE(Q480, ""RO"", ""EN""), """")"),"Not")</f>
        <v>Not</v>
      </c>
      <c r="G480" s="5" t="str">
        <f>IFERROR(__xludf.DUMMYFUNCTION("IF(R480&lt;&gt;"""", GOOGLETRANSLATE(R480, ""RO"", ""EN""), """")"),"")</f>
        <v/>
      </c>
      <c r="H480" s="5" t="str">
        <f>IFERROR(__xludf.DUMMYFUNCTION("IF(U480&lt;&gt;"""", GOOGLETRANSLATE(U480, ""RO"", ""EN""), """")"),"")</f>
        <v/>
      </c>
      <c r="I480" s="5" t="str">
        <f>IFERROR(__xludf.DUMMYFUNCTION("IF(V480&lt;&gt;"""", GOOGLETRANSLATE(V480, ""RO"", ""EN""), """")"),"")</f>
        <v/>
      </c>
      <c r="J480" s="5" t="str">
        <f>IFERROR(__xludf.DUMMYFUNCTION("IF(W480&lt;&gt;"""", GOOGLETRANSLATE(W480, ""RO"", ""EN""), """")"),"")</f>
        <v/>
      </c>
      <c r="K480" s="5" t="str">
        <f>IFERROR(__xludf.DUMMYFUNCTION("IF(X480&lt;&gt;"""", GOOGLETRANSLATE(X480, ""RO"", ""EN""), """")"),"")</f>
        <v/>
      </c>
      <c r="L480" s="5" t="str">
        <f>IFERROR(__xludf.DUMMYFUNCTION("IF(S480&lt;&gt;"""", GOOGLETRANSLATE(S480, ""RO"", ""EN""), """")"),"Ns")</f>
        <v>Ns</v>
      </c>
      <c r="M480" s="5" t="str">
        <f>IFERROR(__xludf.DUMMYFUNCTION("IF(T480&lt;&gt;"""", GOOGLETRANSLATE(T480, ""RO"", ""EN""), """")"),"No.")</f>
        <v>No.</v>
      </c>
      <c r="N480" s="5" t="str">
        <f>IFERROR(__xludf.DUMMYFUNCTION("IF(Y480&lt;&gt;"""", GOOGLETRANSLATE(Y480, ""RO"", ""EN""), """")"),"")</f>
        <v/>
      </c>
      <c r="P480" s="4" t="s">
        <v>639</v>
      </c>
      <c r="Q480" s="4" t="s">
        <v>640</v>
      </c>
      <c r="S480" s="4" t="s">
        <v>103</v>
      </c>
      <c r="T480" s="4" t="s">
        <v>104</v>
      </c>
    </row>
    <row r="481" ht="15.75" customHeight="1">
      <c r="A481" s="4" t="s">
        <v>1426</v>
      </c>
      <c r="B481" s="4" t="s">
        <v>1427</v>
      </c>
      <c r="C481" s="4" t="str">
        <f>IFERROR(__xludf.DUMMYFUNCTION("GOOGLETRANSLATE(B481, ""RO"", ""EN"")"),"What are these candidates?")</f>
        <v>What are these candidates?</v>
      </c>
      <c r="D481" s="5" t="str">
        <f>IFERROR(__xludf.DUMMYFUNCTION("IF(O481&lt;&gt;"""", GOOGLETRANSLATE(O481, ""RO"", ""EN""), """")"),"")</f>
        <v/>
      </c>
      <c r="E481" s="6" t="str">
        <f>IFERROR(__xludf.DUMMYFUNCTION("IF(P481&lt;&gt;"""", GOOGLETRANSLATE(P481, ""RO"", ""EN""), """")"),"")</f>
        <v/>
      </c>
      <c r="F481" s="5" t="str">
        <f>IFERROR(__xludf.DUMMYFUNCTION("IF(Q481&lt;&gt;"""", GOOGLETRANSLATE(Q481, ""RO"", ""EN""), """")"),"")</f>
        <v/>
      </c>
      <c r="G481" s="5" t="str">
        <f>IFERROR(__xludf.DUMMYFUNCTION("IF(R481&lt;&gt;"""", GOOGLETRANSLATE(R481, ""RO"", ""EN""), """")"),"")</f>
        <v/>
      </c>
      <c r="H481" s="5" t="str">
        <f>IFERROR(__xludf.DUMMYFUNCTION("IF(U481&lt;&gt;"""", GOOGLETRANSLATE(U481, ""RO"", ""EN""), """")"),"")</f>
        <v/>
      </c>
      <c r="I481" s="5" t="str">
        <f>IFERROR(__xludf.DUMMYFUNCTION("IF(V481&lt;&gt;"""", GOOGLETRANSLATE(V481, ""RO"", ""EN""), """")"),"")</f>
        <v/>
      </c>
      <c r="J481" s="5" t="str">
        <f>IFERROR(__xludf.DUMMYFUNCTION("IF(W481&lt;&gt;"""", GOOGLETRANSLATE(W481, ""RO"", ""EN""), """")"),"")</f>
        <v/>
      </c>
      <c r="K481" s="5" t="str">
        <f>IFERROR(__xludf.DUMMYFUNCTION("IF(X481&lt;&gt;"""", GOOGLETRANSLATE(X481, ""RO"", ""EN""), """")"),"")</f>
        <v/>
      </c>
      <c r="L481" s="5" t="str">
        <f>IFERROR(__xludf.DUMMYFUNCTION("IF(S481&lt;&gt;"""", GOOGLETRANSLATE(S481, ""RO"", ""EN""), """")"),"")</f>
        <v/>
      </c>
      <c r="M481" s="5" t="str">
        <f>IFERROR(__xludf.DUMMYFUNCTION("IF(T481&lt;&gt;"""", GOOGLETRANSLATE(T481, ""RO"", ""EN""), """")"),"")</f>
        <v/>
      </c>
      <c r="N481" s="5" t="str">
        <f>IFERROR(__xludf.DUMMYFUNCTION("IF(Y481&lt;&gt;"""", GOOGLETRANSLATE(Y481, ""RO"", ""EN""), """")"),"")</f>
        <v/>
      </c>
    </row>
    <row r="482" ht="15.75" customHeight="1">
      <c r="A482" s="4" t="s">
        <v>1428</v>
      </c>
      <c r="B482" s="4" t="s">
        <v>1429</v>
      </c>
      <c r="C482" s="4" t="str">
        <f>IFERROR(__xludf.DUMMYFUNCTION("GOOGLETRANSLATE(B482, ""RO"", ""EN"")"),"For various reasons, many people were missing from the 2nd round of the presidential elections on December 6, 2009, while others voted. Which of the following statements fits in your case?")</f>
        <v>For various reasons, many people were missing from the 2nd round of the presidential elections on December 6, 2009, while others voted. Which of the following statements fits in your case?</v>
      </c>
      <c r="D482" s="5" t="str">
        <f>IFERROR(__xludf.DUMMYFUNCTION("IF(O482&lt;&gt;"""", GOOGLETRANSLATE(O482, ""RO"", ""EN""), """")"),"")</f>
        <v/>
      </c>
      <c r="E482" s="6" t="str">
        <f>IFERROR(__xludf.DUMMYFUNCTION("IF(P482&lt;&gt;"""", GOOGLETRANSLATE(P482, ""RO"", ""EN""), """")"),"I have not voted at round 2 of the presidential elections of 6 Dec")</f>
        <v>I have not voted at round 2 of the presidential elections of 6 Dec</v>
      </c>
      <c r="F482" s="5" t="str">
        <f>IFERROR(__xludf.DUMMYFUNCTION("IF(Q482&lt;&gt;"""", GOOGLETRANSLATE(Q482, ""RO"", ""EN""), """")"),"I thought of voting this time but I didn't vote")</f>
        <v>I thought of voting this time but I didn't vote</v>
      </c>
      <c r="G482" s="5" t="str">
        <f>IFERROR(__xludf.DUMMYFUNCTION("IF(R482&lt;&gt;"""", GOOGLETRANSLATE(R482, ""RO"", ""EN""), """")"),"I usually vote but this time I didn't vote")</f>
        <v>I usually vote but this time I didn't vote</v>
      </c>
      <c r="H482" s="5" t="str">
        <f>IFERROR(__xludf.DUMMYFUNCTION("IF(U482&lt;&gt;"""", GOOGLETRANSLATE(U482, ""RO"", ""EN""), """")"),"I'm sure I voted")</f>
        <v>I'm sure I voted</v>
      </c>
      <c r="I482" s="5" t="str">
        <f>IFERROR(__xludf.DUMMYFUNCTION("IF(V482&lt;&gt;"""", GOOGLETRANSLATE(V482, ""RO"", ""EN""), """")"),"")</f>
        <v/>
      </c>
      <c r="J482" s="5" t="str">
        <f>IFERROR(__xludf.DUMMYFUNCTION("IF(W482&lt;&gt;"""", GOOGLETRANSLATE(W482, ""RO"", ""EN""), """")"),"")</f>
        <v/>
      </c>
      <c r="K482" s="5" t="str">
        <f>IFERROR(__xludf.DUMMYFUNCTION("IF(X482&lt;&gt;"""", GOOGLETRANSLATE(X482, ""RO"", ""EN""), """")"),"")</f>
        <v/>
      </c>
      <c r="L482" s="5" t="str">
        <f>IFERROR(__xludf.DUMMYFUNCTION("IF(S482&lt;&gt;"""", GOOGLETRANSLATE(S482, ""RO"", ""EN""), """")"),"Ns")</f>
        <v>Ns</v>
      </c>
      <c r="M482" s="5" t="str">
        <f>IFERROR(__xludf.DUMMYFUNCTION("IF(T482&lt;&gt;"""", GOOGLETRANSLATE(T482, ""RO"", ""EN""), """")"),"No.")</f>
        <v>No.</v>
      </c>
      <c r="N482" s="5" t="str">
        <f>IFERROR(__xludf.DUMMYFUNCTION("IF(Y482&lt;&gt;"""", GOOGLETRANSLATE(Y482, ""RO"", ""EN""), """")"),"")</f>
        <v/>
      </c>
      <c r="P482" s="4" t="s">
        <v>1430</v>
      </c>
      <c r="Q482" s="4" t="s">
        <v>1407</v>
      </c>
      <c r="R482" s="4" t="s">
        <v>1408</v>
      </c>
      <c r="S482" s="4" t="s">
        <v>103</v>
      </c>
      <c r="T482" s="4" t="s">
        <v>104</v>
      </c>
      <c r="U482" s="4" t="s">
        <v>1409</v>
      </c>
    </row>
    <row r="483" ht="15.75" customHeight="1">
      <c r="A483" s="4" t="s">
        <v>1431</v>
      </c>
      <c r="B483" s="4" t="s">
        <v>1432</v>
      </c>
      <c r="C483" s="4" t="str">
        <f>IFERROR(__xludf.DUMMYFUNCTION("GOOGLETRANSLATE(B483, ""RO"", ""EN"")"),"For various reasons, about half of the people were missing from the 2nd round of the presidential elections on December 6, 2009, while others voted. Which of the following statements fits in your case?")</f>
        <v>For various reasons, about half of the people were missing from the 2nd round of the presidential elections on December 6, 2009, while others voted. Which of the following statements fits in your case?</v>
      </c>
      <c r="D483" s="5" t="str">
        <f>IFERROR(__xludf.DUMMYFUNCTION("IF(O483&lt;&gt;"""", GOOGLETRANSLATE(O483, ""RO"", ""EN""), """")"),"")</f>
        <v/>
      </c>
      <c r="E483" s="6" t="str">
        <f>IFERROR(__xludf.DUMMYFUNCTION("IF(P483&lt;&gt;"""", GOOGLETRANSLATE(P483, ""RO"", ""EN""), """")"),"I have not voted at round 2 of the presidential elections of 6 Dec")</f>
        <v>I have not voted at round 2 of the presidential elections of 6 Dec</v>
      </c>
      <c r="F483" s="5" t="str">
        <f>IFERROR(__xludf.DUMMYFUNCTION("IF(Q483&lt;&gt;"""", GOOGLETRANSLATE(Q483, ""RO"", ""EN""), """")"),"I thought of voting this time but I didn't vote")</f>
        <v>I thought of voting this time but I didn't vote</v>
      </c>
      <c r="G483" s="5" t="str">
        <f>IFERROR(__xludf.DUMMYFUNCTION("IF(R483&lt;&gt;"""", GOOGLETRANSLATE(R483, ""RO"", ""EN""), """")"),"I usually vote but this time I didn't vote")</f>
        <v>I usually vote but this time I didn't vote</v>
      </c>
      <c r="H483" s="5" t="str">
        <f>IFERROR(__xludf.DUMMYFUNCTION("IF(U483&lt;&gt;"""", GOOGLETRANSLATE(U483, ""RO"", ""EN""), """")"),"I'm sure I voted")</f>
        <v>I'm sure I voted</v>
      </c>
      <c r="I483" s="5" t="str">
        <f>IFERROR(__xludf.DUMMYFUNCTION("IF(V483&lt;&gt;"""", GOOGLETRANSLATE(V483, ""RO"", ""EN""), """")"),"")</f>
        <v/>
      </c>
      <c r="J483" s="5" t="str">
        <f>IFERROR(__xludf.DUMMYFUNCTION("IF(W483&lt;&gt;"""", GOOGLETRANSLATE(W483, ""RO"", ""EN""), """")"),"")</f>
        <v/>
      </c>
      <c r="K483" s="5" t="str">
        <f>IFERROR(__xludf.DUMMYFUNCTION("IF(X483&lt;&gt;"""", GOOGLETRANSLATE(X483, ""RO"", ""EN""), """")"),"")</f>
        <v/>
      </c>
      <c r="L483" s="5" t="str">
        <f>IFERROR(__xludf.DUMMYFUNCTION("IF(S483&lt;&gt;"""", GOOGLETRANSLATE(S483, ""RO"", ""EN""), """")"),"Ns")</f>
        <v>Ns</v>
      </c>
      <c r="M483" s="5" t="str">
        <f>IFERROR(__xludf.DUMMYFUNCTION("IF(T483&lt;&gt;"""", GOOGLETRANSLATE(T483, ""RO"", ""EN""), """")"),"No.")</f>
        <v>No.</v>
      </c>
      <c r="N483" s="5" t="str">
        <f>IFERROR(__xludf.DUMMYFUNCTION("IF(Y483&lt;&gt;"""", GOOGLETRANSLATE(Y483, ""RO"", ""EN""), """")"),"")</f>
        <v/>
      </c>
      <c r="P483" s="4" t="s">
        <v>1430</v>
      </c>
      <c r="Q483" s="4" t="s">
        <v>1407</v>
      </c>
      <c r="R483" s="4" t="s">
        <v>1408</v>
      </c>
      <c r="S483" s="4" t="s">
        <v>103</v>
      </c>
      <c r="T483" s="4" t="s">
        <v>104</v>
      </c>
      <c r="U483" s="4" t="s">
        <v>1409</v>
      </c>
    </row>
    <row r="484" ht="15.75" customHeight="1">
      <c r="A484" s="4" t="s">
        <v>1433</v>
      </c>
      <c r="B484" s="4" t="s">
        <v>1434</v>
      </c>
      <c r="C484" s="4" t="str">
        <f>IFERROR(__xludf.DUMMYFUNCTION("GOOGLETRANSLATE(B484, ""RO"", ""EN"")"),"For various reasons, about one in two people was missing from the 2nd round of the presidential elections on December 6, 2009, while others voted. Which of the following statements fits in your case?")</f>
        <v>For various reasons, about one in two people was missing from the 2nd round of the presidential elections on December 6, 2009, while others voted. Which of the following statements fits in your case?</v>
      </c>
      <c r="D484" s="5" t="str">
        <f>IFERROR(__xludf.DUMMYFUNCTION("IF(O484&lt;&gt;"""", GOOGLETRANSLATE(O484, ""RO"", ""EN""), """")"),"")</f>
        <v/>
      </c>
      <c r="E484" s="6" t="str">
        <f>IFERROR(__xludf.DUMMYFUNCTION("IF(P484&lt;&gt;"""", GOOGLETRANSLATE(P484, ""RO"", ""EN""), """")"),"I have not voted at round 2 of the presidential elections of 6 Dec")</f>
        <v>I have not voted at round 2 of the presidential elections of 6 Dec</v>
      </c>
      <c r="F484" s="5" t="str">
        <f>IFERROR(__xludf.DUMMYFUNCTION("IF(Q484&lt;&gt;"""", GOOGLETRANSLATE(Q484, ""RO"", ""EN""), """")"),"I thought of voting this time but I didn't vote")</f>
        <v>I thought of voting this time but I didn't vote</v>
      </c>
      <c r="G484" s="5" t="str">
        <f>IFERROR(__xludf.DUMMYFUNCTION("IF(R484&lt;&gt;"""", GOOGLETRANSLATE(R484, ""RO"", ""EN""), """")"),"I usually vote but this time I didn't vote")</f>
        <v>I usually vote but this time I didn't vote</v>
      </c>
      <c r="H484" s="5" t="str">
        <f>IFERROR(__xludf.DUMMYFUNCTION("IF(U484&lt;&gt;"""", GOOGLETRANSLATE(U484, ""RO"", ""EN""), """")"),"I'm sure I voted")</f>
        <v>I'm sure I voted</v>
      </c>
      <c r="I484" s="5" t="str">
        <f>IFERROR(__xludf.DUMMYFUNCTION("IF(V484&lt;&gt;"""", GOOGLETRANSLATE(V484, ""RO"", ""EN""), """")"),"")</f>
        <v/>
      </c>
      <c r="J484" s="5" t="str">
        <f>IFERROR(__xludf.DUMMYFUNCTION("IF(W484&lt;&gt;"""", GOOGLETRANSLATE(W484, ""RO"", ""EN""), """")"),"")</f>
        <v/>
      </c>
      <c r="K484" s="5" t="str">
        <f>IFERROR(__xludf.DUMMYFUNCTION("IF(X484&lt;&gt;"""", GOOGLETRANSLATE(X484, ""RO"", ""EN""), """")"),"")</f>
        <v/>
      </c>
      <c r="L484" s="5" t="str">
        <f>IFERROR(__xludf.DUMMYFUNCTION("IF(S484&lt;&gt;"""", GOOGLETRANSLATE(S484, ""RO"", ""EN""), """")"),"Ns")</f>
        <v>Ns</v>
      </c>
      <c r="M484" s="5" t="str">
        <f>IFERROR(__xludf.DUMMYFUNCTION("IF(T484&lt;&gt;"""", GOOGLETRANSLATE(T484, ""RO"", ""EN""), """")"),"No.")</f>
        <v>No.</v>
      </c>
      <c r="N484" s="5" t="str">
        <f>IFERROR(__xludf.DUMMYFUNCTION("IF(Y484&lt;&gt;"""", GOOGLETRANSLATE(Y484, ""RO"", ""EN""), """")"),"")</f>
        <v/>
      </c>
      <c r="P484" s="4" t="s">
        <v>1430</v>
      </c>
      <c r="Q484" s="4" t="s">
        <v>1407</v>
      </c>
      <c r="R484" s="4" t="s">
        <v>1408</v>
      </c>
      <c r="S484" s="4" t="s">
        <v>103</v>
      </c>
      <c r="T484" s="4" t="s">
        <v>104</v>
      </c>
      <c r="U484" s="4" t="s">
        <v>1409</v>
      </c>
    </row>
    <row r="485" ht="15.75" customHeight="1">
      <c r="A485" s="4" t="s">
        <v>1435</v>
      </c>
      <c r="B485" s="4" t="s">
        <v>1436</v>
      </c>
      <c r="C485" s="4" t="str">
        <f>IFERROR(__xludf.DUMMYFUNCTION("GOOGLETRANSLATE(B485, ""RO"", ""EN"")"),"Participation declared to the vote - Tour 2")</f>
        <v>Participation declared to the vote - Tour 2</v>
      </c>
      <c r="D485" s="5" t="str">
        <f>IFERROR(__xludf.DUMMYFUNCTION("IF(O485&lt;&gt;"""", GOOGLETRANSLATE(O485, ""RO"", ""EN""), """")"),"")</f>
        <v/>
      </c>
      <c r="E485" s="6" t="str">
        <f>IFERROR(__xludf.DUMMYFUNCTION("IF(P485&lt;&gt;"""", GOOGLETRANSLATE(P485, ""RO"", ""EN""), """")"),"I have not voted at round 2 of the presidential elections of 6 Dec")</f>
        <v>I have not voted at round 2 of the presidential elections of 6 Dec</v>
      </c>
      <c r="F485" s="5" t="str">
        <f>IFERROR(__xludf.DUMMYFUNCTION("IF(Q485&lt;&gt;"""", GOOGLETRANSLATE(Q485, ""RO"", ""EN""), """")"),"I thought of voting this time but I didn't vote")</f>
        <v>I thought of voting this time but I didn't vote</v>
      </c>
      <c r="G485" s="5" t="str">
        <f>IFERROR(__xludf.DUMMYFUNCTION("IF(R485&lt;&gt;"""", GOOGLETRANSLATE(R485, ""RO"", ""EN""), """")"),"I usually vote but this time I didn't vote")</f>
        <v>I usually vote but this time I didn't vote</v>
      </c>
      <c r="H485" s="5" t="str">
        <f>IFERROR(__xludf.DUMMYFUNCTION("IF(U485&lt;&gt;"""", GOOGLETRANSLATE(U485, ""RO"", ""EN""), """")"),"I'm sure I voted")</f>
        <v>I'm sure I voted</v>
      </c>
      <c r="I485" s="5" t="str">
        <f>IFERROR(__xludf.DUMMYFUNCTION("IF(V485&lt;&gt;"""", GOOGLETRANSLATE(V485, ""RO"", ""EN""), """")"),"")</f>
        <v/>
      </c>
      <c r="J485" s="5" t="str">
        <f>IFERROR(__xludf.DUMMYFUNCTION("IF(W485&lt;&gt;"""", GOOGLETRANSLATE(W485, ""RO"", ""EN""), """")"),"")</f>
        <v/>
      </c>
      <c r="K485" s="5" t="str">
        <f>IFERROR(__xludf.DUMMYFUNCTION("IF(X485&lt;&gt;"""", GOOGLETRANSLATE(X485, ""RO"", ""EN""), """")"),"")</f>
        <v/>
      </c>
      <c r="L485" s="5" t="str">
        <f>IFERROR(__xludf.DUMMYFUNCTION("IF(S485&lt;&gt;"""", GOOGLETRANSLATE(S485, ""RO"", ""EN""), """")"),"Ns")</f>
        <v>Ns</v>
      </c>
      <c r="M485" s="5" t="str">
        <f>IFERROR(__xludf.DUMMYFUNCTION("IF(T485&lt;&gt;"""", GOOGLETRANSLATE(T485, ""RO"", ""EN""), """")"),"No.")</f>
        <v>No.</v>
      </c>
      <c r="N485" s="5" t="str">
        <f>IFERROR(__xludf.DUMMYFUNCTION("IF(Y485&lt;&gt;"""", GOOGLETRANSLATE(Y485, ""RO"", ""EN""), """")"),"")</f>
        <v/>
      </c>
      <c r="P485" s="4" t="s">
        <v>1430</v>
      </c>
      <c r="Q485" s="4" t="s">
        <v>1407</v>
      </c>
      <c r="R485" s="4" t="s">
        <v>1408</v>
      </c>
      <c r="S485" s="4" t="s">
        <v>103</v>
      </c>
      <c r="T485" s="4" t="s">
        <v>104</v>
      </c>
      <c r="U485" s="4" t="s">
        <v>1409</v>
      </c>
    </row>
    <row r="486" ht="15.75" customHeight="1">
      <c r="A486" s="4" t="s">
        <v>1437</v>
      </c>
      <c r="B486" s="4" t="s">
        <v>1438</v>
      </c>
      <c r="C486" s="4" t="str">
        <f>IFERROR(__xludf.DUMMYFUNCTION("GOOGLETRANSLATE(B486, ""RO"", ""EN"")"),"If you were voted, for which candidate would you have voted on round 2?")</f>
        <v>If you were voted, for which candidate would you have voted on round 2?</v>
      </c>
      <c r="D486" s="5" t="str">
        <f>IFERROR(__xludf.DUMMYFUNCTION("IF(O486&lt;&gt;"""", GOOGLETRANSLATE(O486, ""RO"", ""EN""), """")"),"")</f>
        <v/>
      </c>
      <c r="E486" s="6" t="str">
        <f>IFERROR(__xludf.DUMMYFUNCTION("IF(P486&lt;&gt;"""", GOOGLETRANSLATE(P486, ""RO"", ""EN""), """")"),"Traian Basescu")</f>
        <v>Traian Basescu</v>
      </c>
      <c r="F486" s="5" t="str">
        <f>IFERROR(__xludf.DUMMYFUNCTION("IF(Q486&lt;&gt;"""", GOOGLETRANSLATE(Q486, ""RO"", ""EN""), """")"),"Mircea Geoana")</f>
        <v>Mircea Geoana</v>
      </c>
      <c r="G486" s="5" t="str">
        <f>IFERROR(__xludf.DUMMYFUNCTION("IF(R486&lt;&gt;"""", GOOGLETRANSLATE(R486, ""RO"", ""EN""), """")"),"")</f>
        <v/>
      </c>
      <c r="H486" s="5" t="str">
        <f>IFERROR(__xludf.DUMMYFUNCTION("IF(U486&lt;&gt;"""", GOOGLETRANSLATE(U486, ""RO"", ""EN""), """")"),"")</f>
        <v/>
      </c>
      <c r="I486" s="5" t="str">
        <f>IFERROR(__xludf.DUMMYFUNCTION("IF(V486&lt;&gt;"""", GOOGLETRANSLATE(V486, ""RO"", ""EN""), """")"),"")</f>
        <v/>
      </c>
      <c r="J486" s="5" t="str">
        <f>IFERROR(__xludf.DUMMYFUNCTION("IF(W486&lt;&gt;"""", GOOGLETRANSLATE(W486, ""RO"", ""EN""), """")"),"")</f>
        <v/>
      </c>
      <c r="K486" s="5" t="str">
        <f>IFERROR(__xludf.DUMMYFUNCTION("IF(X486&lt;&gt;"""", GOOGLETRANSLATE(X486, ""RO"", ""EN""), """")"),"I would not have voted")</f>
        <v>I would not have voted</v>
      </c>
      <c r="L486" s="5" t="str">
        <f>IFERROR(__xludf.DUMMYFUNCTION("IF(S486&lt;&gt;"""", GOOGLETRANSLATE(S486, ""RO"", ""EN""), """")"),"Ns")</f>
        <v>Ns</v>
      </c>
      <c r="M486" s="5" t="str">
        <f>IFERROR(__xludf.DUMMYFUNCTION("IF(T486&lt;&gt;"""", GOOGLETRANSLATE(T486, ""RO"", ""EN""), """")"),"No.")</f>
        <v>No.</v>
      </c>
      <c r="N486" s="5" t="str">
        <f>IFERROR(__xludf.DUMMYFUNCTION("IF(Y486&lt;&gt;"""", GOOGLETRANSLATE(Y486, ""RO"", ""EN""), """")"),"")</f>
        <v/>
      </c>
      <c r="P486" s="4" t="s">
        <v>221</v>
      </c>
      <c r="Q486" s="4" t="s">
        <v>219</v>
      </c>
      <c r="S486" s="4" t="s">
        <v>103</v>
      </c>
      <c r="T486" s="4" t="s">
        <v>104</v>
      </c>
      <c r="X486" s="4" t="s">
        <v>1439</v>
      </c>
    </row>
    <row r="487" ht="15.75" customHeight="1">
      <c r="A487" s="4" t="s">
        <v>1440</v>
      </c>
      <c r="B487" s="4" t="s">
        <v>1441</v>
      </c>
      <c r="C487" s="4" t="str">
        <f>IFERROR(__xludf.DUMMYFUNCTION("GOOGLETRANSLATE(B487, ""RO"", ""EN"")"),"Who did you vote for the president for tour 2?")</f>
        <v>Who did you vote for the president for tour 2?</v>
      </c>
      <c r="D487" s="5" t="str">
        <f>IFERROR(__xludf.DUMMYFUNCTION("IF(O487&lt;&gt;"""", GOOGLETRANSLATE(O487, ""RO"", ""EN""), """")"),"")</f>
        <v/>
      </c>
      <c r="E487" s="6" t="str">
        <f>IFERROR(__xludf.DUMMYFUNCTION("IF(P487&lt;&gt;"""", GOOGLETRANSLATE(P487, ""RO"", ""EN""), """")"),"Traian Basescu")</f>
        <v>Traian Basescu</v>
      </c>
      <c r="F487" s="5" t="str">
        <f>IFERROR(__xludf.DUMMYFUNCTION("IF(Q487&lt;&gt;"""", GOOGLETRANSLATE(Q487, ""RO"", ""EN""), """")"),"Mircea Geoana")</f>
        <v>Mircea Geoana</v>
      </c>
      <c r="G487" s="5" t="str">
        <f>IFERROR(__xludf.DUMMYFUNCTION("IF(R487&lt;&gt;"""", GOOGLETRANSLATE(R487, ""RO"", ""EN""), """")"),"")</f>
        <v/>
      </c>
      <c r="H487" s="5" t="str">
        <f>IFERROR(__xludf.DUMMYFUNCTION("IF(U487&lt;&gt;"""", GOOGLETRANSLATE(U487, ""RO"", ""EN""), """")"),"")</f>
        <v/>
      </c>
      <c r="I487" s="5" t="str">
        <f>IFERROR(__xludf.DUMMYFUNCTION("IF(V487&lt;&gt;"""", GOOGLETRANSLATE(V487, ""RO"", ""EN""), """")"),"")</f>
        <v/>
      </c>
      <c r="J487" s="5" t="str">
        <f>IFERROR(__xludf.DUMMYFUNCTION("IF(W487&lt;&gt;"""", GOOGLETRANSLATE(W487, ""RO"", ""EN""), """")"),"")</f>
        <v/>
      </c>
      <c r="K487" s="5" t="str">
        <f>IFERROR(__xludf.DUMMYFUNCTION("IF(X487&lt;&gt;"""", GOOGLETRANSLATE(X487, ""RO"", ""EN""), """")"),"I canceled the vote")</f>
        <v>I canceled the vote</v>
      </c>
      <c r="L487" s="5" t="str">
        <f>IFERROR(__xludf.DUMMYFUNCTION("IF(S487&lt;&gt;"""", GOOGLETRANSLATE(S487, ""RO"", ""EN""), """")"),"Ns")</f>
        <v>Ns</v>
      </c>
      <c r="M487" s="5" t="str">
        <f>IFERROR(__xludf.DUMMYFUNCTION("IF(T487&lt;&gt;"""", GOOGLETRANSLATE(T487, ""RO"", ""EN""), """")"),"No.")</f>
        <v>No.</v>
      </c>
      <c r="N487" s="5" t="str">
        <f>IFERROR(__xludf.DUMMYFUNCTION("IF(Y487&lt;&gt;"""", GOOGLETRANSLATE(Y487, ""RO"", ""EN""), """")"),"")</f>
        <v/>
      </c>
      <c r="P487" s="4" t="s">
        <v>221</v>
      </c>
      <c r="Q487" s="4" t="s">
        <v>219</v>
      </c>
      <c r="S487" s="4" t="s">
        <v>103</v>
      </c>
      <c r="T487" s="4" t="s">
        <v>104</v>
      </c>
      <c r="X487" s="4" t="s">
        <v>1173</v>
      </c>
    </row>
    <row r="488" ht="15.75" customHeight="1">
      <c r="A488" s="4" t="s">
        <v>1442</v>
      </c>
      <c r="B488" s="4" t="s">
        <v>1443</v>
      </c>
      <c r="C488" s="4" t="str">
        <f>IFERROR(__xludf.DUMMYFUNCTION("GOOGLETRANSLATE(B488, ""RO"", ""EN"")"),"For various reasons, many people were missing from the parliamentary elections in November 2008, while others voted. Which of the following statements fits in your case?")</f>
        <v>For various reasons, many people were missing from the parliamentary elections in November 2008, while others voted. Which of the following statements fits in your case?</v>
      </c>
      <c r="D488" s="5" t="str">
        <f>IFERROR(__xludf.DUMMYFUNCTION("IF(O488&lt;&gt;"""", GOOGLETRANSLATE(O488, ""RO"", ""EN""), """")"),"")</f>
        <v/>
      </c>
      <c r="E488" s="6" t="str">
        <f>IFERROR(__xludf.DUMMYFUNCTION("IF(P488&lt;&gt;"""", GOOGLETRANSLATE(P488, ""RO"", ""EN""), """")"),"I did not vote at the November 2008 parliamentary elections")</f>
        <v>I did not vote at the November 2008 parliamentary elections</v>
      </c>
      <c r="F488" s="5" t="str">
        <f>IFERROR(__xludf.DUMMYFUNCTION("IF(Q488&lt;&gt;"""", GOOGLETRANSLATE(Q488, ""RO"", ""EN""), """")"),"I thought of voting but I didn't vote")</f>
        <v>I thought of voting but I didn't vote</v>
      </c>
      <c r="G488" s="5" t="str">
        <f>IFERROR(__xludf.DUMMYFUNCTION("IF(R488&lt;&gt;"""", GOOGLETRANSLATE(R488, ""RO"", ""EN""), """")"),"I usually vote but then I didn't vote")</f>
        <v>I usually vote but then I didn't vote</v>
      </c>
      <c r="H488" s="5" t="str">
        <f>IFERROR(__xludf.DUMMYFUNCTION("IF(U488&lt;&gt;"""", GOOGLETRANSLATE(U488, ""RO"", ""EN""), """")"),"I'm sure I voted")</f>
        <v>I'm sure I voted</v>
      </c>
      <c r="I488" s="5" t="str">
        <f>IFERROR(__xludf.DUMMYFUNCTION("IF(V488&lt;&gt;"""", GOOGLETRANSLATE(V488, ""RO"", ""EN""), """")"),"")</f>
        <v/>
      </c>
      <c r="J488" s="5" t="str">
        <f>IFERROR(__xludf.DUMMYFUNCTION("IF(W488&lt;&gt;"""", GOOGLETRANSLATE(W488, ""RO"", ""EN""), """")"),"")</f>
        <v/>
      </c>
      <c r="K488" s="5" t="str">
        <f>IFERROR(__xludf.DUMMYFUNCTION("IF(X488&lt;&gt;"""", GOOGLETRANSLATE(X488, ""RO"", ""EN""), """")"),"I did not have the right to vote")</f>
        <v>I did not have the right to vote</v>
      </c>
      <c r="L488" s="5" t="str">
        <f>IFERROR(__xludf.DUMMYFUNCTION("IF(S488&lt;&gt;"""", GOOGLETRANSLATE(S488, ""RO"", ""EN""), """")"),"Ns")</f>
        <v>Ns</v>
      </c>
      <c r="M488" s="5" t="str">
        <f>IFERROR(__xludf.DUMMYFUNCTION("IF(T488&lt;&gt;"""", GOOGLETRANSLATE(T488, ""RO"", ""EN""), """")"),"No.")</f>
        <v>No.</v>
      </c>
      <c r="N488" s="5" t="str">
        <f>IFERROR(__xludf.DUMMYFUNCTION("IF(Y488&lt;&gt;"""", GOOGLETRANSLATE(Y488, ""RO"", ""EN""), """")"),"")</f>
        <v/>
      </c>
      <c r="P488" s="4" t="s">
        <v>1444</v>
      </c>
      <c r="Q488" s="4" t="s">
        <v>1445</v>
      </c>
      <c r="R488" s="4" t="s">
        <v>1165</v>
      </c>
      <c r="S488" s="4" t="s">
        <v>103</v>
      </c>
      <c r="T488" s="4" t="s">
        <v>104</v>
      </c>
      <c r="U488" s="4" t="s">
        <v>1409</v>
      </c>
      <c r="X488" s="4" t="s">
        <v>1446</v>
      </c>
    </row>
    <row r="489" ht="15.75" customHeight="1">
      <c r="A489" s="4" t="s">
        <v>1447</v>
      </c>
      <c r="B489" s="4" t="s">
        <v>1448</v>
      </c>
      <c r="C489" s="4" t="str">
        <f>IFERROR(__xludf.DUMMYFUNCTION("GOOGLETRANSLATE(B489, ""RO"", ""EN"")"),"For various reasons, about half of the people were missing from the parliamentary elections in November 2008, while others voted. Which of the following statements fits in your case?")</f>
        <v>For various reasons, about half of the people were missing from the parliamentary elections in November 2008, while others voted. Which of the following statements fits in your case?</v>
      </c>
      <c r="D489" s="5" t="str">
        <f>IFERROR(__xludf.DUMMYFUNCTION("IF(O489&lt;&gt;"""", GOOGLETRANSLATE(O489, ""RO"", ""EN""), """")"),"")</f>
        <v/>
      </c>
      <c r="E489" s="6" t="str">
        <f>IFERROR(__xludf.DUMMYFUNCTION("IF(P489&lt;&gt;"""", GOOGLETRANSLATE(P489, ""RO"", ""EN""), """")"),"I did not vote at the November 2008 parliamentary elections")</f>
        <v>I did not vote at the November 2008 parliamentary elections</v>
      </c>
      <c r="F489" s="5" t="str">
        <f>IFERROR(__xludf.DUMMYFUNCTION("IF(Q489&lt;&gt;"""", GOOGLETRANSLATE(Q489, ""RO"", ""EN""), """")"),"I thought of voting but I didn't vote")</f>
        <v>I thought of voting but I didn't vote</v>
      </c>
      <c r="G489" s="5" t="str">
        <f>IFERROR(__xludf.DUMMYFUNCTION("IF(R489&lt;&gt;"""", GOOGLETRANSLATE(R489, ""RO"", ""EN""), """")"),"I usually vote but then I didn't vote")</f>
        <v>I usually vote but then I didn't vote</v>
      </c>
      <c r="H489" s="5" t="str">
        <f>IFERROR(__xludf.DUMMYFUNCTION("IF(U489&lt;&gt;"""", GOOGLETRANSLATE(U489, ""RO"", ""EN""), """")"),"I'm sure I voted")</f>
        <v>I'm sure I voted</v>
      </c>
      <c r="I489" s="5" t="str">
        <f>IFERROR(__xludf.DUMMYFUNCTION("IF(V489&lt;&gt;"""", GOOGLETRANSLATE(V489, ""RO"", ""EN""), """")"),"")</f>
        <v/>
      </c>
      <c r="J489" s="5" t="str">
        <f>IFERROR(__xludf.DUMMYFUNCTION("IF(W489&lt;&gt;"""", GOOGLETRANSLATE(W489, ""RO"", ""EN""), """")"),"")</f>
        <v/>
      </c>
      <c r="K489" s="5" t="str">
        <f>IFERROR(__xludf.DUMMYFUNCTION("IF(X489&lt;&gt;"""", GOOGLETRANSLATE(X489, ""RO"", ""EN""), """")"),"I did not have the right to vote")</f>
        <v>I did not have the right to vote</v>
      </c>
      <c r="L489" s="5" t="str">
        <f>IFERROR(__xludf.DUMMYFUNCTION("IF(S489&lt;&gt;"""", GOOGLETRANSLATE(S489, ""RO"", ""EN""), """")"),"Ns")</f>
        <v>Ns</v>
      </c>
      <c r="M489" s="5" t="str">
        <f>IFERROR(__xludf.DUMMYFUNCTION("IF(T489&lt;&gt;"""", GOOGLETRANSLATE(T489, ""RO"", ""EN""), """")"),"No.")</f>
        <v>No.</v>
      </c>
      <c r="N489" s="5" t="str">
        <f>IFERROR(__xludf.DUMMYFUNCTION("IF(Y489&lt;&gt;"""", GOOGLETRANSLATE(Y489, ""RO"", ""EN""), """")"),"")</f>
        <v/>
      </c>
      <c r="P489" s="4" t="s">
        <v>1444</v>
      </c>
      <c r="Q489" s="4" t="s">
        <v>1445</v>
      </c>
      <c r="R489" s="4" t="s">
        <v>1165</v>
      </c>
      <c r="S489" s="4" t="s">
        <v>103</v>
      </c>
      <c r="T489" s="4" t="s">
        <v>104</v>
      </c>
      <c r="U489" s="4" t="s">
        <v>1409</v>
      </c>
      <c r="X489" s="4" t="s">
        <v>1446</v>
      </c>
    </row>
    <row r="490" ht="15.75" customHeight="1">
      <c r="A490" s="4" t="s">
        <v>1449</v>
      </c>
      <c r="B490" s="4" t="s">
        <v>1450</v>
      </c>
      <c r="C490" s="4" t="str">
        <f>IFERROR(__xludf.DUMMYFUNCTION("GOOGLETRANSLATE(B490, ""RO"", ""EN"")"),"For various reasons, about one in two people was missing from the parliamentary elections in November 2008, while others voted. Which of the following statements fits in your case?")</f>
        <v>For various reasons, about one in two people was missing from the parliamentary elections in November 2008, while others voted. Which of the following statements fits in your case?</v>
      </c>
      <c r="D490" s="5" t="str">
        <f>IFERROR(__xludf.DUMMYFUNCTION("IF(O490&lt;&gt;"""", GOOGLETRANSLATE(O490, ""RO"", ""EN""), """")"),"")</f>
        <v/>
      </c>
      <c r="E490" s="6" t="str">
        <f>IFERROR(__xludf.DUMMYFUNCTION("IF(P490&lt;&gt;"""", GOOGLETRANSLATE(P490, ""RO"", ""EN""), """")"),"I did not vote at the November 2008 parliamentary elections")</f>
        <v>I did not vote at the November 2008 parliamentary elections</v>
      </c>
      <c r="F490" s="5" t="str">
        <f>IFERROR(__xludf.DUMMYFUNCTION("IF(Q490&lt;&gt;"""", GOOGLETRANSLATE(Q490, ""RO"", ""EN""), """")"),"I thought of voting but I didn't vote")</f>
        <v>I thought of voting but I didn't vote</v>
      </c>
      <c r="G490" s="5" t="str">
        <f>IFERROR(__xludf.DUMMYFUNCTION("IF(R490&lt;&gt;"""", GOOGLETRANSLATE(R490, ""RO"", ""EN""), """")"),"I usually vote but then I didn't vote")</f>
        <v>I usually vote but then I didn't vote</v>
      </c>
      <c r="H490" s="5" t="str">
        <f>IFERROR(__xludf.DUMMYFUNCTION("IF(U490&lt;&gt;"""", GOOGLETRANSLATE(U490, ""RO"", ""EN""), """")"),"I'm sure I voted")</f>
        <v>I'm sure I voted</v>
      </c>
      <c r="I490" s="5" t="str">
        <f>IFERROR(__xludf.DUMMYFUNCTION("IF(V490&lt;&gt;"""", GOOGLETRANSLATE(V490, ""RO"", ""EN""), """")"),"")</f>
        <v/>
      </c>
      <c r="J490" s="5" t="str">
        <f>IFERROR(__xludf.DUMMYFUNCTION("IF(W490&lt;&gt;"""", GOOGLETRANSLATE(W490, ""RO"", ""EN""), """")"),"")</f>
        <v/>
      </c>
      <c r="K490" s="5" t="str">
        <f>IFERROR(__xludf.DUMMYFUNCTION("IF(X490&lt;&gt;"""", GOOGLETRANSLATE(X490, ""RO"", ""EN""), """")"),"I did not have the right to vote")</f>
        <v>I did not have the right to vote</v>
      </c>
      <c r="L490" s="5" t="str">
        <f>IFERROR(__xludf.DUMMYFUNCTION("IF(S490&lt;&gt;"""", GOOGLETRANSLATE(S490, ""RO"", ""EN""), """")"),"Ns")</f>
        <v>Ns</v>
      </c>
      <c r="M490" s="5" t="str">
        <f>IFERROR(__xludf.DUMMYFUNCTION("IF(T490&lt;&gt;"""", GOOGLETRANSLATE(T490, ""RO"", ""EN""), """")"),"No.")</f>
        <v>No.</v>
      </c>
      <c r="N490" s="5" t="str">
        <f>IFERROR(__xludf.DUMMYFUNCTION("IF(Y490&lt;&gt;"""", GOOGLETRANSLATE(Y490, ""RO"", ""EN""), """")"),"")</f>
        <v/>
      </c>
      <c r="P490" s="4" t="s">
        <v>1444</v>
      </c>
      <c r="Q490" s="4" t="s">
        <v>1445</v>
      </c>
      <c r="R490" s="4" t="s">
        <v>1165</v>
      </c>
      <c r="S490" s="4" t="s">
        <v>103</v>
      </c>
      <c r="T490" s="4" t="s">
        <v>104</v>
      </c>
      <c r="U490" s="4" t="s">
        <v>1409</v>
      </c>
      <c r="X490" s="4" t="s">
        <v>1446</v>
      </c>
    </row>
    <row r="491" ht="15.75" customHeight="1">
      <c r="A491" s="4" t="s">
        <v>1451</v>
      </c>
      <c r="B491" s="4" t="s">
        <v>1452</v>
      </c>
      <c r="C491" s="4" t="str">
        <f>IFERROR(__xludf.DUMMYFUNCTION("GOOGLETRANSLATE(B491, ""RO"", ""EN"")"),"Participation declared to vote - parliamentary elections 2008")</f>
        <v>Participation declared to vote - parliamentary elections 2008</v>
      </c>
      <c r="D491" s="5" t="str">
        <f>IFERROR(__xludf.DUMMYFUNCTION("IF(O491&lt;&gt;"""", GOOGLETRANSLATE(O491, ""RO"", ""EN""), """")"),"")</f>
        <v/>
      </c>
      <c r="E491" s="6" t="str">
        <f>IFERROR(__xludf.DUMMYFUNCTION("IF(P491&lt;&gt;"""", GOOGLETRANSLATE(P491, ""RO"", ""EN""), """")"),"I did not vote at the November 2008 parliamentary elections")</f>
        <v>I did not vote at the November 2008 parliamentary elections</v>
      </c>
      <c r="F491" s="5" t="str">
        <f>IFERROR(__xludf.DUMMYFUNCTION("IF(Q491&lt;&gt;"""", GOOGLETRANSLATE(Q491, ""RO"", ""EN""), """")"),"I thought of voting but I didn't vote")</f>
        <v>I thought of voting but I didn't vote</v>
      </c>
      <c r="G491" s="5" t="str">
        <f>IFERROR(__xludf.DUMMYFUNCTION("IF(R491&lt;&gt;"""", GOOGLETRANSLATE(R491, ""RO"", ""EN""), """")"),"I usually vote but then I didn't vote")</f>
        <v>I usually vote but then I didn't vote</v>
      </c>
      <c r="H491" s="5" t="str">
        <f>IFERROR(__xludf.DUMMYFUNCTION("IF(U491&lt;&gt;"""", GOOGLETRANSLATE(U491, ""RO"", ""EN""), """")"),"I'm sure I voted")</f>
        <v>I'm sure I voted</v>
      </c>
      <c r="I491" s="5" t="str">
        <f>IFERROR(__xludf.DUMMYFUNCTION("IF(V491&lt;&gt;"""", GOOGLETRANSLATE(V491, ""RO"", ""EN""), """")"),"")</f>
        <v/>
      </c>
      <c r="J491" s="5" t="str">
        <f>IFERROR(__xludf.DUMMYFUNCTION("IF(W491&lt;&gt;"""", GOOGLETRANSLATE(W491, ""RO"", ""EN""), """")"),"")</f>
        <v/>
      </c>
      <c r="K491" s="5" t="str">
        <f>IFERROR(__xludf.DUMMYFUNCTION("IF(X491&lt;&gt;"""", GOOGLETRANSLATE(X491, ""RO"", ""EN""), """")"),"I did not have the right to vote")</f>
        <v>I did not have the right to vote</v>
      </c>
      <c r="L491" s="5" t="str">
        <f>IFERROR(__xludf.DUMMYFUNCTION("IF(S491&lt;&gt;"""", GOOGLETRANSLATE(S491, ""RO"", ""EN""), """")"),"Ns")</f>
        <v>Ns</v>
      </c>
      <c r="M491" s="5" t="str">
        <f>IFERROR(__xludf.DUMMYFUNCTION("IF(T491&lt;&gt;"""", GOOGLETRANSLATE(T491, ""RO"", ""EN""), """")"),"No.")</f>
        <v>No.</v>
      </c>
      <c r="N491" s="5" t="str">
        <f>IFERROR(__xludf.DUMMYFUNCTION("IF(Y491&lt;&gt;"""", GOOGLETRANSLATE(Y491, ""RO"", ""EN""), """")"),"")</f>
        <v/>
      </c>
      <c r="P491" s="4" t="s">
        <v>1444</v>
      </c>
      <c r="Q491" s="4" t="s">
        <v>1445</v>
      </c>
      <c r="R491" s="4" t="s">
        <v>1165</v>
      </c>
      <c r="S491" s="4" t="s">
        <v>103</v>
      </c>
      <c r="T491" s="4" t="s">
        <v>104</v>
      </c>
      <c r="U491" s="4" t="s">
        <v>1409</v>
      </c>
      <c r="X491" s="4" t="s">
        <v>1446</v>
      </c>
    </row>
    <row r="492" ht="15.75" customHeight="1">
      <c r="A492" s="4" t="s">
        <v>1453</v>
      </c>
      <c r="B492" s="4" t="s">
        <v>1454</v>
      </c>
      <c r="C492" s="4" t="str">
        <f>IFERROR(__xludf.DUMMYFUNCTION("GOOGLETRANSLATE(B492, ""RO"", ""EN"")"),"What is the party or the candidate with whom you voted in the November 2008 parliamentary elections?")</f>
        <v>What is the party or the candidate with whom you voted in the November 2008 parliamentary elections?</v>
      </c>
      <c r="D492" s="5" t="str">
        <f>IFERROR(__xludf.DUMMYFUNCTION("IF(O492&lt;&gt;"""", GOOGLETRANSLATE(O492, ""RO"", ""EN""), """")"),"")</f>
        <v/>
      </c>
      <c r="E492" s="6" t="str">
        <f>IFERROR(__xludf.DUMMYFUNCTION("IF(P492&lt;&gt;"""", GOOGLETRANSLATE(P492, ""RO"", ""EN""), """")"),"National Liberal Party (PNL)")</f>
        <v>National Liberal Party (PNL)</v>
      </c>
      <c r="F492" s="5" t="str">
        <f>IFERROR(__xludf.DUMMYFUNCTION("IF(Q492&lt;&gt;"""", GOOGLETRANSLATE(Q492, ""RO"", ""EN""), """")"),"Liberal Democratic Party (PD-L)")</f>
        <v>Liberal Democratic Party (PD-L)</v>
      </c>
      <c r="G492" s="5" t="str">
        <f>IFERROR(__xludf.DUMMYFUNCTION("IF(R492&lt;&gt;"""", GOOGLETRANSLATE(R492, ""RO"", ""EN""), """")"),"PSD+PC alliance (PSD+PC)")</f>
        <v>PSD+PC alliance (PSD+PC)</v>
      </c>
      <c r="H492" s="5" t="str">
        <f>IFERROR(__xludf.DUMMYFUNCTION("IF(U492&lt;&gt;"""", GOOGLETRANSLATE(U492, ""RO"", ""EN""), """")"),"The Party of Romania Great (PRM)")</f>
        <v>The Party of Romania Great (PRM)</v>
      </c>
      <c r="I492" s="5" t="str">
        <f>IFERROR(__xludf.DUMMYFUNCTION("IF(V492&lt;&gt;"""", GOOGLETRANSLATE(V492, ""RO"", ""EN""), """")"),"The Democratic Union of Hungarians in Romania (UDMR)")</f>
        <v>The Democratic Union of Hungarians in Romania (UDMR)</v>
      </c>
      <c r="J492" s="5" t="str">
        <f>IFERROR(__xludf.DUMMYFUNCTION("IF(W492&lt;&gt;"""", GOOGLETRANSLATE(W492, ""RO"", ""EN""), """")"),"The new generation party, Christian Democrat (PNG-CD)")</f>
        <v>The new generation party, Christian Democrat (PNG-CD)</v>
      </c>
      <c r="K492" s="5" t="str">
        <f>IFERROR(__xludf.DUMMYFUNCTION("IF(X492&lt;&gt;"""", GOOGLETRANSLATE(X492, ""RO"", ""EN""), """")"),"Another party")</f>
        <v>Another party</v>
      </c>
      <c r="L492" s="5" t="str">
        <f>IFERROR(__xludf.DUMMYFUNCTION("IF(S492&lt;&gt;"""", GOOGLETRANSLATE(S492, ""RO"", ""EN""), """")"),"An independent candidate")</f>
        <v>An independent candidate</v>
      </c>
      <c r="M492" s="5" t="str">
        <f>IFERROR(__xludf.DUMMYFUNCTION("IF(T492&lt;&gt;"""", GOOGLETRANSLATE(T492, ""RO"", ""EN""), """")"),"")</f>
        <v/>
      </c>
      <c r="N492" s="5" t="str">
        <f>IFERROR(__xludf.DUMMYFUNCTION("IF(Y492&lt;&gt;"""", GOOGLETRANSLATE(Y492, ""RO"", ""EN""), """")"),"")</f>
        <v/>
      </c>
      <c r="P492" s="4" t="s">
        <v>205</v>
      </c>
      <c r="Q492" s="4" t="s">
        <v>207</v>
      </c>
      <c r="R492" s="4" t="s">
        <v>1455</v>
      </c>
      <c r="S492" s="4" t="s">
        <v>1456</v>
      </c>
      <c r="U492" s="4" t="s">
        <v>563</v>
      </c>
      <c r="V492" s="4" t="s">
        <v>562</v>
      </c>
      <c r="W492" s="4" t="s">
        <v>1457</v>
      </c>
      <c r="X492" s="4" t="s">
        <v>1458</v>
      </c>
      <c r="Z492" s="4" t="s">
        <v>1172</v>
      </c>
      <c r="AA492" s="4" t="s">
        <v>1459</v>
      </c>
      <c r="AB492" s="4" t="s">
        <v>215</v>
      </c>
      <c r="AC492" s="4" t="s">
        <v>488</v>
      </c>
      <c r="AD492" s="4" t="s">
        <v>1173</v>
      </c>
      <c r="BO492" s="4" t="s">
        <v>1446</v>
      </c>
    </row>
    <row r="493" ht="15.75" customHeight="1">
      <c r="A493" s="4" t="s">
        <v>1460</v>
      </c>
      <c r="B493" s="4" t="s">
        <v>1461</v>
      </c>
      <c r="C493" s="4" t="str">
        <f>IFERROR(__xludf.DUMMYFUNCTION("GOOGLETRANSLATE(B493, ""RO"", ""EN"")"),"Please think about the Day of the November 2004 presidential election, Tour 1. Which of the following statements fits in your case?")</f>
        <v>Please think about the Day of the November 2004 presidential election, Tour 1. Which of the following statements fits in your case?</v>
      </c>
      <c r="D493" s="5" t="str">
        <f>IFERROR(__xludf.DUMMYFUNCTION("IF(O493&lt;&gt;"""", GOOGLETRANSLATE(O493, ""RO"", ""EN""), """")"),"")</f>
        <v/>
      </c>
      <c r="E493" s="6" t="str">
        <f>IFERROR(__xludf.DUMMYFUNCTION("IF(P493&lt;&gt;"""", GOOGLETRANSLATE(P493, ""RO"", ""EN""), """")"),"I have not voted at round 1 of the presidential elections in NOIEM")</f>
        <v>I have not voted at round 1 of the presidential elections in NOIEM</v>
      </c>
      <c r="F493" s="5" t="str">
        <f>IFERROR(__xludf.DUMMYFUNCTION("IF(Q493&lt;&gt;"""", GOOGLETRANSLATE(Q493, ""RO"", ""EN""), """")"),"I thought of voting but I didn't vote")</f>
        <v>I thought of voting but I didn't vote</v>
      </c>
      <c r="G493" s="5" t="str">
        <f>IFERROR(__xludf.DUMMYFUNCTION("IF(R493&lt;&gt;"""", GOOGLETRANSLATE(R493, ""RO"", ""EN""), """")"),"I usually vote but then I didn't vote")</f>
        <v>I usually vote but then I didn't vote</v>
      </c>
      <c r="H493" s="5" t="str">
        <f>IFERROR(__xludf.DUMMYFUNCTION("IF(U493&lt;&gt;"""", GOOGLETRANSLATE(U493, ""RO"", ""EN""), """")"),"Sure I voted")</f>
        <v>Sure I voted</v>
      </c>
      <c r="I493" s="5" t="str">
        <f>IFERROR(__xludf.DUMMYFUNCTION("IF(V493&lt;&gt;"""", GOOGLETRANSLATE(V493, ""RO"", ""EN""), """")"),"")</f>
        <v/>
      </c>
      <c r="J493" s="5" t="str">
        <f>IFERROR(__xludf.DUMMYFUNCTION("IF(W493&lt;&gt;"""", GOOGLETRANSLATE(W493, ""RO"", ""EN""), """")"),"")</f>
        <v/>
      </c>
      <c r="K493" s="5" t="str">
        <f>IFERROR(__xludf.DUMMYFUNCTION("IF(X493&lt;&gt;"""", GOOGLETRANSLATE(X493, ""RO"", ""EN""), """")"),"I did not have the right to vote")</f>
        <v>I did not have the right to vote</v>
      </c>
      <c r="L493" s="5" t="str">
        <f>IFERROR(__xludf.DUMMYFUNCTION("IF(S493&lt;&gt;"""", GOOGLETRANSLATE(S493, ""RO"", ""EN""), """")"),"Ns")</f>
        <v>Ns</v>
      </c>
      <c r="M493" s="5" t="str">
        <f>IFERROR(__xludf.DUMMYFUNCTION("IF(T493&lt;&gt;"""", GOOGLETRANSLATE(T493, ""RO"", ""EN""), """")"),"No.")</f>
        <v>No.</v>
      </c>
      <c r="N493" s="5" t="str">
        <f>IFERROR(__xludf.DUMMYFUNCTION("IF(Y493&lt;&gt;"""", GOOGLETRANSLATE(Y493, ""RO"", ""EN""), """")"),"")</f>
        <v/>
      </c>
      <c r="P493" s="4" t="s">
        <v>1462</v>
      </c>
      <c r="Q493" s="4" t="s">
        <v>1445</v>
      </c>
      <c r="R493" s="4" t="s">
        <v>1165</v>
      </c>
      <c r="S493" s="4" t="s">
        <v>103</v>
      </c>
      <c r="T493" s="4" t="s">
        <v>104</v>
      </c>
      <c r="U493" s="4" t="s">
        <v>1164</v>
      </c>
      <c r="X493" s="4" t="s">
        <v>1446</v>
      </c>
    </row>
    <row r="494" ht="15.75" customHeight="1">
      <c r="A494" s="4" t="s">
        <v>1463</v>
      </c>
      <c r="B494" s="4" t="s">
        <v>1464</v>
      </c>
      <c r="C494" s="4" t="str">
        <f>IFERROR(__xludf.DUMMYFUNCTION("GOOGLETRANSLATE(B494, ""RO"", ""EN"")"),"What is the candidate with whom you voted in the presidential elections of November 2004 tour 1?")</f>
        <v>What is the candidate with whom you voted in the presidential elections of November 2004 tour 1?</v>
      </c>
      <c r="D494" s="5" t="str">
        <f>IFERROR(__xludf.DUMMYFUNCTION("IF(O494&lt;&gt;"""", GOOGLETRANSLATE(O494, ""RO"", ""EN""), """")"),"")</f>
        <v/>
      </c>
      <c r="E494" s="6" t="str">
        <f>IFERROR(__xludf.DUMMYFUNCTION("IF(P494&lt;&gt;"""", GOOGLETRANSLATE(P494, ""RO"", ""EN""), """")"),"Adrian Nastase")</f>
        <v>Adrian Nastase</v>
      </c>
      <c r="F494" s="5" t="str">
        <f>IFERROR(__xludf.DUMMYFUNCTION("IF(Q494&lt;&gt;"""", GOOGLETRANSLATE(Q494, ""RO"", ""EN""), """")"),"Traian Basescu")</f>
        <v>Traian Basescu</v>
      </c>
      <c r="G494" s="5" t="str">
        <f>IFERROR(__xludf.DUMMYFUNCTION("IF(R494&lt;&gt;"""", GOOGLETRANSLATE(R494, ""RO"", ""EN""), """")"),"Corneliu Vadim Tudor")</f>
        <v>Corneliu Vadim Tudor</v>
      </c>
      <c r="H494" s="5" t="str">
        <f>IFERROR(__xludf.DUMMYFUNCTION("IF(U494&lt;&gt;"""", GOOGLETRANSLATE(U494, ""RO"", ""EN""), """")"),"Gigi Becali")</f>
        <v>Gigi Becali</v>
      </c>
      <c r="I494" s="5" t="str">
        <f>IFERROR(__xludf.DUMMYFUNCTION("IF(V494&lt;&gt;"""", GOOGLETRANSLATE(V494, ""RO"", ""EN""), """")"),"Marko Bela")</f>
        <v>Marko Bela</v>
      </c>
      <c r="J494" s="5" t="str">
        <f>IFERROR(__xludf.DUMMYFUNCTION("IF(W494&lt;&gt;"""", GOOGLETRANSLATE(W494, ""RO"", ""EN""), """")"),"Another candidate")</f>
        <v>Another candidate</v>
      </c>
      <c r="K494" s="5" t="str">
        <f>IFERROR(__xludf.DUMMYFUNCTION("IF(X494&lt;&gt;"""", GOOGLETRANSLATE(X494, ""RO"", ""EN""), """")"),"")</f>
        <v/>
      </c>
      <c r="L494" s="5" t="str">
        <f>IFERROR(__xludf.DUMMYFUNCTION("IF(S494&lt;&gt;"""", GOOGLETRANSLATE(S494, ""RO"", ""EN""), """")"),"")</f>
        <v/>
      </c>
      <c r="M494" s="5" t="str">
        <f>IFERROR(__xludf.DUMMYFUNCTION("IF(T494&lt;&gt;"""", GOOGLETRANSLATE(T494, ""RO"", ""EN""), """")"),"")</f>
        <v/>
      </c>
      <c r="N494" s="5" t="str">
        <f>IFERROR(__xludf.DUMMYFUNCTION("IF(Y494&lt;&gt;"""", GOOGLETRANSLATE(Y494, ""RO"", ""EN""), """")"),"")</f>
        <v/>
      </c>
      <c r="P494" s="4" t="s">
        <v>1465</v>
      </c>
      <c r="Q494" s="4" t="s">
        <v>221</v>
      </c>
      <c r="R494" s="4" t="s">
        <v>224</v>
      </c>
      <c r="U494" s="4" t="s">
        <v>1466</v>
      </c>
      <c r="V494" s="4" t="s">
        <v>1467</v>
      </c>
      <c r="W494" s="4" t="s">
        <v>485</v>
      </c>
      <c r="Z494" s="4" t="s">
        <v>1172</v>
      </c>
      <c r="AA494" s="4" t="s">
        <v>1459</v>
      </c>
      <c r="AB494" s="4" t="s">
        <v>215</v>
      </c>
      <c r="AC494" s="4" t="s">
        <v>488</v>
      </c>
      <c r="AD494" s="4" t="s">
        <v>1173</v>
      </c>
      <c r="BO494" s="4" t="s">
        <v>1446</v>
      </c>
    </row>
    <row r="495" ht="15.75" customHeight="1">
      <c r="A495" s="4" t="s">
        <v>1468</v>
      </c>
      <c r="B495" s="4" t="s">
        <v>1469</v>
      </c>
      <c r="C495" s="4" t="str">
        <f>IFERROR(__xludf.DUMMYFUNCTION("GOOGLETRANSLATE(B495, ""RO"", ""EN"")"),"Please think about the Day of Presidential Election in December 2004, tour 2. Which of the following statements fits in your case?")</f>
        <v>Please think about the Day of Presidential Election in December 2004, tour 2. Which of the following statements fits in your case?</v>
      </c>
      <c r="D495" s="5" t="str">
        <f>IFERROR(__xludf.DUMMYFUNCTION("IF(O495&lt;&gt;"""", GOOGLETRANSLATE(O495, ""RO"", ""EN""), """")"),"")</f>
        <v/>
      </c>
      <c r="E495" s="6" t="str">
        <f>IFERROR(__xludf.DUMMYFUNCTION("IF(P495&lt;&gt;"""", GOOGLETRANSLATE(P495, ""RO"", ""EN""), """")"),"I have not voted at round 2 of the presidential elections in Noiem")</f>
        <v>I have not voted at round 2 of the presidential elections in Noiem</v>
      </c>
      <c r="F495" s="5" t="str">
        <f>IFERROR(__xludf.DUMMYFUNCTION("IF(Q495&lt;&gt;"""", GOOGLETRANSLATE(Q495, ""RO"", ""EN""), """")"),"I thought of voting but I didn't vote")</f>
        <v>I thought of voting but I didn't vote</v>
      </c>
      <c r="G495" s="5" t="str">
        <f>IFERROR(__xludf.DUMMYFUNCTION("IF(R495&lt;&gt;"""", GOOGLETRANSLATE(R495, ""RO"", ""EN""), """")"),"I usually vote but then I didn't vote")</f>
        <v>I usually vote but then I didn't vote</v>
      </c>
      <c r="H495" s="5" t="str">
        <f>IFERROR(__xludf.DUMMYFUNCTION("IF(U495&lt;&gt;"""", GOOGLETRANSLATE(U495, ""RO"", ""EN""), """")"),"Sure I voted")</f>
        <v>Sure I voted</v>
      </c>
      <c r="I495" s="5" t="str">
        <f>IFERROR(__xludf.DUMMYFUNCTION("IF(V495&lt;&gt;"""", GOOGLETRANSLATE(V495, ""RO"", ""EN""), """")"),"")</f>
        <v/>
      </c>
      <c r="J495" s="5" t="str">
        <f>IFERROR(__xludf.DUMMYFUNCTION("IF(W495&lt;&gt;"""", GOOGLETRANSLATE(W495, ""RO"", ""EN""), """")"),"")</f>
        <v/>
      </c>
      <c r="K495" s="5" t="str">
        <f>IFERROR(__xludf.DUMMYFUNCTION("IF(X495&lt;&gt;"""", GOOGLETRANSLATE(X495, ""RO"", ""EN""), """")"),"I did not have the right to vote")</f>
        <v>I did not have the right to vote</v>
      </c>
      <c r="L495" s="5" t="str">
        <f>IFERROR(__xludf.DUMMYFUNCTION("IF(S495&lt;&gt;"""", GOOGLETRANSLATE(S495, ""RO"", ""EN""), """")"),"Ns")</f>
        <v>Ns</v>
      </c>
      <c r="M495" s="5" t="str">
        <f>IFERROR(__xludf.DUMMYFUNCTION("IF(T495&lt;&gt;"""", GOOGLETRANSLATE(T495, ""RO"", ""EN""), """")"),"No.")</f>
        <v>No.</v>
      </c>
      <c r="N495" s="5" t="str">
        <f>IFERROR(__xludf.DUMMYFUNCTION("IF(Y495&lt;&gt;"""", GOOGLETRANSLATE(Y495, ""RO"", ""EN""), """")"),"")</f>
        <v/>
      </c>
      <c r="P495" s="4" t="s">
        <v>1470</v>
      </c>
      <c r="Q495" s="4" t="s">
        <v>1445</v>
      </c>
      <c r="R495" s="4" t="s">
        <v>1165</v>
      </c>
      <c r="S495" s="4" t="s">
        <v>103</v>
      </c>
      <c r="T495" s="4" t="s">
        <v>104</v>
      </c>
      <c r="U495" s="4" t="s">
        <v>1164</v>
      </c>
      <c r="X495" s="4" t="s">
        <v>1446</v>
      </c>
    </row>
    <row r="496" ht="15.75" customHeight="1">
      <c r="A496" s="4" t="s">
        <v>1471</v>
      </c>
      <c r="B496" s="4" t="s">
        <v>1472</v>
      </c>
      <c r="C496" s="4" t="str">
        <f>IFERROR(__xludf.DUMMYFUNCTION("GOOGLETRANSLATE(B496, ""RO"", ""EN"")"),"What is the candidate with whom you voted in the presidential elections of November 2004 tour 2?")</f>
        <v>What is the candidate with whom you voted in the presidential elections of November 2004 tour 2?</v>
      </c>
      <c r="D496" s="5" t="str">
        <f>IFERROR(__xludf.DUMMYFUNCTION("IF(O496&lt;&gt;"""", GOOGLETRANSLATE(O496, ""RO"", ""EN""), """")"),"")</f>
        <v/>
      </c>
      <c r="E496" s="6" t="str">
        <f>IFERROR(__xludf.DUMMYFUNCTION("IF(P496&lt;&gt;"""", GOOGLETRANSLATE(P496, ""RO"", ""EN""), """")"),"Adrian Nastase")</f>
        <v>Adrian Nastase</v>
      </c>
      <c r="F496" s="5" t="str">
        <f>IFERROR(__xludf.DUMMYFUNCTION("IF(Q496&lt;&gt;"""", GOOGLETRANSLATE(Q496, ""RO"", ""EN""), """")"),"Traian Basescu")</f>
        <v>Traian Basescu</v>
      </c>
      <c r="G496" s="5" t="str">
        <f>IFERROR(__xludf.DUMMYFUNCTION("IF(R496&lt;&gt;"""", GOOGLETRANSLATE(R496, ""RO"", ""EN""), """")"),"")</f>
        <v/>
      </c>
      <c r="H496" s="5" t="str">
        <f>IFERROR(__xludf.DUMMYFUNCTION("IF(U496&lt;&gt;"""", GOOGLETRANSLATE(U496, ""RO"", ""EN""), """")"),"")</f>
        <v/>
      </c>
      <c r="I496" s="5" t="str">
        <f>IFERROR(__xludf.DUMMYFUNCTION("IF(V496&lt;&gt;"""", GOOGLETRANSLATE(V496, ""RO"", ""EN""), """")"),"")</f>
        <v/>
      </c>
      <c r="J496" s="5" t="str">
        <f>IFERROR(__xludf.DUMMYFUNCTION("IF(W496&lt;&gt;"""", GOOGLETRANSLATE(W496, ""RO"", ""EN""), """")"),"")</f>
        <v/>
      </c>
      <c r="K496" s="5" t="str">
        <f>IFERROR(__xludf.DUMMYFUNCTION("IF(X496&lt;&gt;"""", GOOGLETRANSLATE(X496, ""RO"", ""EN""), """")"),"")</f>
        <v/>
      </c>
      <c r="L496" s="5" t="str">
        <f>IFERROR(__xludf.DUMMYFUNCTION("IF(S496&lt;&gt;"""", GOOGLETRANSLATE(S496, ""RO"", ""EN""), """")"),"")</f>
        <v/>
      </c>
      <c r="M496" s="5" t="str">
        <f>IFERROR(__xludf.DUMMYFUNCTION("IF(T496&lt;&gt;"""", GOOGLETRANSLATE(T496, ""RO"", ""EN""), """")"),"")</f>
        <v/>
      </c>
      <c r="N496" s="5" t="str">
        <f>IFERROR(__xludf.DUMMYFUNCTION("IF(Y496&lt;&gt;"""", GOOGLETRANSLATE(Y496, ""RO"", ""EN""), """")"),"")</f>
        <v/>
      </c>
      <c r="P496" s="4" t="s">
        <v>1465</v>
      </c>
      <c r="Q496" s="4" t="s">
        <v>221</v>
      </c>
      <c r="Z496" s="4" t="s">
        <v>1172</v>
      </c>
      <c r="AA496" s="4" t="s">
        <v>1459</v>
      </c>
      <c r="AB496" s="4" t="s">
        <v>215</v>
      </c>
      <c r="AC496" s="4" t="s">
        <v>488</v>
      </c>
      <c r="AD496" s="4" t="s">
        <v>1173</v>
      </c>
      <c r="BO496" s="4" t="s">
        <v>1446</v>
      </c>
    </row>
    <row r="497" ht="15.75" customHeight="1">
      <c r="A497" s="4" t="s">
        <v>1473</v>
      </c>
      <c r="B497" s="4" t="s">
        <v>1474</v>
      </c>
      <c r="C497" s="4" t="str">
        <f>IFERROR(__xludf.DUMMYFUNCTION("GOOGLETRANSLATE(B497, ""RO"", ""EN"")"),"How much do you know, the following statements are true or false? In Romania, the polling stations are closed at nine o'clock in the evening")</f>
        <v>How much do you know, the following statements are true or false? In Romania, the polling stations are closed at nine o'clock in the evening</v>
      </c>
      <c r="D497" s="5" t="str">
        <f>IFERROR(__xludf.DUMMYFUNCTION("IF(O497&lt;&gt;"""", GOOGLETRANSLATE(O497, ""RO"", ""EN""), """")"),"")</f>
        <v/>
      </c>
      <c r="E497" s="6" t="str">
        <f>IFERROR(__xludf.DUMMYFUNCTION("IF(P497&lt;&gt;"""", GOOGLETRANSLATE(P497, ""RO"", ""EN""), """")"),"True")</f>
        <v>True</v>
      </c>
      <c r="F497" s="5" t="str">
        <f>IFERROR(__xludf.DUMMYFUNCTION("IF(Q497&lt;&gt;"""", GOOGLETRANSLATE(Q497, ""RO"", ""EN""), """")"),"Fake")</f>
        <v>Fake</v>
      </c>
      <c r="G497" s="5" t="str">
        <f>IFERROR(__xludf.DUMMYFUNCTION("IF(R497&lt;&gt;"""", GOOGLETRANSLATE(R497, ""RO"", ""EN""), """")"),"")</f>
        <v/>
      </c>
      <c r="H497" s="5" t="str">
        <f>IFERROR(__xludf.DUMMYFUNCTION("IF(U497&lt;&gt;"""", GOOGLETRANSLATE(U497, ""RO"", ""EN""), """")"),"")</f>
        <v/>
      </c>
      <c r="I497" s="5" t="str">
        <f>IFERROR(__xludf.DUMMYFUNCTION("IF(V497&lt;&gt;"""", GOOGLETRANSLATE(V497, ""RO"", ""EN""), """")"),"")</f>
        <v/>
      </c>
      <c r="J497" s="5" t="str">
        <f>IFERROR(__xludf.DUMMYFUNCTION("IF(W497&lt;&gt;"""", GOOGLETRANSLATE(W497, ""RO"", ""EN""), """")"),"")</f>
        <v/>
      </c>
      <c r="K497" s="5" t="str">
        <f>IFERROR(__xludf.DUMMYFUNCTION("IF(X497&lt;&gt;"""", GOOGLETRANSLATE(X497, ""RO"", ""EN""), """")"),"")</f>
        <v/>
      </c>
      <c r="L497" s="5" t="str">
        <f>IFERROR(__xludf.DUMMYFUNCTION("IF(S497&lt;&gt;"""", GOOGLETRANSLATE(S497, ""RO"", ""EN""), """")"),"Ns")</f>
        <v>Ns</v>
      </c>
      <c r="M497" s="5" t="str">
        <f>IFERROR(__xludf.DUMMYFUNCTION("IF(T497&lt;&gt;"""", GOOGLETRANSLATE(T497, ""RO"", ""EN""), """")"),"No.")</f>
        <v>No.</v>
      </c>
      <c r="N497" s="5" t="str">
        <f>IFERROR(__xludf.DUMMYFUNCTION("IF(Y497&lt;&gt;"""", GOOGLETRANSLATE(Y497, ""RO"", ""EN""), """")"),"")</f>
        <v/>
      </c>
      <c r="P497" s="4" t="s">
        <v>270</v>
      </c>
      <c r="Q497" s="4" t="s">
        <v>271</v>
      </c>
      <c r="S497" s="4" t="s">
        <v>103</v>
      </c>
      <c r="T497" s="4" t="s">
        <v>104</v>
      </c>
    </row>
    <row r="498" ht="15.75" customHeight="1">
      <c r="A498" s="4" t="s">
        <v>1475</v>
      </c>
      <c r="B498" s="4" t="s">
        <v>1476</v>
      </c>
      <c r="C498" s="4" t="str">
        <f>IFERROR(__xludf.DUMMYFUNCTION("GOOGLETRANSLATE(B498, ""RO"", ""EN"")"),"According to the law, Romanian election campaigns start 30 days before election")</f>
        <v>According to the law, Romanian election campaigns start 30 days before election</v>
      </c>
      <c r="D498" s="5" t="str">
        <f>IFERROR(__xludf.DUMMYFUNCTION("IF(O498&lt;&gt;"""", GOOGLETRANSLATE(O498, ""RO"", ""EN""), """")"),"")</f>
        <v/>
      </c>
      <c r="E498" s="6" t="str">
        <f>IFERROR(__xludf.DUMMYFUNCTION("IF(P498&lt;&gt;"""", GOOGLETRANSLATE(P498, ""RO"", ""EN""), """")"),"True")</f>
        <v>True</v>
      </c>
      <c r="F498" s="5" t="str">
        <f>IFERROR(__xludf.DUMMYFUNCTION("IF(Q498&lt;&gt;"""", GOOGLETRANSLATE(Q498, ""RO"", ""EN""), """")"),"Fake")</f>
        <v>Fake</v>
      </c>
      <c r="G498" s="5" t="str">
        <f>IFERROR(__xludf.DUMMYFUNCTION("IF(R498&lt;&gt;"""", GOOGLETRANSLATE(R498, ""RO"", ""EN""), """")"),"")</f>
        <v/>
      </c>
      <c r="H498" s="5" t="str">
        <f>IFERROR(__xludf.DUMMYFUNCTION("IF(U498&lt;&gt;"""", GOOGLETRANSLATE(U498, ""RO"", ""EN""), """")"),"")</f>
        <v/>
      </c>
      <c r="I498" s="5" t="str">
        <f>IFERROR(__xludf.DUMMYFUNCTION("IF(V498&lt;&gt;"""", GOOGLETRANSLATE(V498, ""RO"", ""EN""), """")"),"")</f>
        <v/>
      </c>
      <c r="J498" s="5" t="str">
        <f>IFERROR(__xludf.DUMMYFUNCTION("IF(W498&lt;&gt;"""", GOOGLETRANSLATE(W498, ""RO"", ""EN""), """")"),"")</f>
        <v/>
      </c>
      <c r="K498" s="5" t="str">
        <f>IFERROR(__xludf.DUMMYFUNCTION("IF(X498&lt;&gt;"""", GOOGLETRANSLATE(X498, ""RO"", ""EN""), """")"),"")</f>
        <v/>
      </c>
      <c r="L498" s="5" t="str">
        <f>IFERROR(__xludf.DUMMYFUNCTION("IF(S498&lt;&gt;"""", GOOGLETRANSLATE(S498, ""RO"", ""EN""), """")"),"Ns")</f>
        <v>Ns</v>
      </c>
      <c r="M498" s="5" t="str">
        <f>IFERROR(__xludf.DUMMYFUNCTION("IF(T498&lt;&gt;"""", GOOGLETRANSLATE(T498, ""RO"", ""EN""), """")"),"No.")</f>
        <v>No.</v>
      </c>
      <c r="N498" s="5" t="str">
        <f>IFERROR(__xludf.DUMMYFUNCTION("IF(Y498&lt;&gt;"""", GOOGLETRANSLATE(Y498, ""RO"", ""EN""), """")"),"")</f>
        <v/>
      </c>
      <c r="P498" s="4" t="s">
        <v>270</v>
      </c>
      <c r="Q498" s="4" t="s">
        <v>271</v>
      </c>
      <c r="S498" s="4" t="s">
        <v>103</v>
      </c>
      <c r="T498" s="4" t="s">
        <v>104</v>
      </c>
    </row>
    <row r="499" ht="15.75" customHeight="1">
      <c r="A499" s="4" t="s">
        <v>1477</v>
      </c>
      <c r="B499" s="4" t="s">
        <v>1478</v>
      </c>
      <c r="C499" s="4" t="str">
        <f>IFERROR(__xludf.DUMMYFUNCTION("GOOGLETRANSLATE(B499, ""RO"", ""EN"")"),"The states of the European Union have the same number of parliamentarians in the European Parliament")</f>
        <v>The states of the European Union have the same number of parliamentarians in the European Parliament</v>
      </c>
      <c r="D499" s="5" t="str">
        <f>IFERROR(__xludf.DUMMYFUNCTION("IF(O499&lt;&gt;"""", GOOGLETRANSLATE(O499, ""RO"", ""EN""), """")"),"")</f>
        <v/>
      </c>
      <c r="E499" s="6" t="str">
        <f>IFERROR(__xludf.DUMMYFUNCTION("IF(P499&lt;&gt;"""", GOOGLETRANSLATE(P499, ""RO"", ""EN""), """")"),"True")</f>
        <v>True</v>
      </c>
      <c r="F499" s="5" t="str">
        <f>IFERROR(__xludf.DUMMYFUNCTION("IF(Q499&lt;&gt;"""", GOOGLETRANSLATE(Q499, ""RO"", ""EN""), """")"),"Fake")</f>
        <v>Fake</v>
      </c>
      <c r="G499" s="5" t="str">
        <f>IFERROR(__xludf.DUMMYFUNCTION("IF(R499&lt;&gt;"""", GOOGLETRANSLATE(R499, ""RO"", ""EN""), """")"),"")</f>
        <v/>
      </c>
      <c r="H499" s="5" t="str">
        <f>IFERROR(__xludf.DUMMYFUNCTION("IF(U499&lt;&gt;"""", GOOGLETRANSLATE(U499, ""RO"", ""EN""), """")"),"")</f>
        <v/>
      </c>
      <c r="I499" s="5" t="str">
        <f>IFERROR(__xludf.DUMMYFUNCTION("IF(V499&lt;&gt;"""", GOOGLETRANSLATE(V499, ""RO"", ""EN""), """")"),"")</f>
        <v/>
      </c>
      <c r="J499" s="5" t="str">
        <f>IFERROR(__xludf.DUMMYFUNCTION("IF(W499&lt;&gt;"""", GOOGLETRANSLATE(W499, ""RO"", ""EN""), """")"),"")</f>
        <v/>
      </c>
      <c r="K499" s="5" t="str">
        <f>IFERROR(__xludf.DUMMYFUNCTION("IF(X499&lt;&gt;"""", GOOGLETRANSLATE(X499, ""RO"", ""EN""), """")"),"")</f>
        <v/>
      </c>
      <c r="L499" s="5" t="str">
        <f>IFERROR(__xludf.DUMMYFUNCTION("IF(S499&lt;&gt;"""", GOOGLETRANSLATE(S499, ""RO"", ""EN""), """")"),"Ns")</f>
        <v>Ns</v>
      </c>
      <c r="M499" s="5" t="str">
        <f>IFERROR(__xludf.DUMMYFUNCTION("IF(T499&lt;&gt;"""", GOOGLETRANSLATE(T499, ""RO"", ""EN""), """")"),"No.")</f>
        <v>No.</v>
      </c>
      <c r="N499" s="5" t="str">
        <f>IFERROR(__xludf.DUMMYFUNCTION("IF(Y499&lt;&gt;"""", GOOGLETRANSLATE(Y499, ""RO"", ""EN""), """")"),"")</f>
        <v/>
      </c>
      <c r="P499" s="4" t="s">
        <v>270</v>
      </c>
      <c r="Q499" s="4" t="s">
        <v>271</v>
      </c>
      <c r="S499" s="4" t="s">
        <v>103</v>
      </c>
      <c r="T499" s="4" t="s">
        <v>104</v>
      </c>
    </row>
    <row r="500" ht="15.75" customHeight="1">
      <c r="A500" s="4" t="s">
        <v>1479</v>
      </c>
      <c r="B500" s="4" t="s">
        <v>1480</v>
      </c>
      <c r="C500" s="4" t="str">
        <f>IFERROR(__xludf.DUMMYFUNCTION("GOOGLETRANSLATE(B500, ""RO"", ""EN"")"),"How interested you are politics in general ...?")</f>
        <v>How interested you are politics in general ...?</v>
      </c>
      <c r="D500" s="5" t="str">
        <f>IFERROR(__xludf.DUMMYFUNCTION("IF(O500&lt;&gt;"""", GOOGLETRANSLATE(O500, ""RO"", ""EN""), """")"),"")</f>
        <v/>
      </c>
      <c r="E500" s="6" t="str">
        <f>IFERROR(__xludf.DUMMYFUNCTION("IF(P500&lt;&gt;"""", GOOGLETRANSLATE(P500, ""RO"", ""EN""), """")"),"Not at all interested")</f>
        <v>Not at all interested</v>
      </c>
      <c r="F500" s="5" t="str">
        <f>IFERROR(__xludf.DUMMYFUNCTION("IF(Q500&lt;&gt;"""", GOOGLETRANSLATE(Q500, ""RO"", ""EN""), """")"),"Not too interested")</f>
        <v>Not too interested</v>
      </c>
      <c r="G500" s="5" t="str">
        <f>IFERROR(__xludf.DUMMYFUNCTION("IF(R500&lt;&gt;"""", GOOGLETRANSLATE(R500, ""RO"", ""EN""), """")"),"Quite interested")</f>
        <v>Quite interested</v>
      </c>
      <c r="H500" s="5" t="str">
        <f>IFERROR(__xludf.DUMMYFUNCTION("IF(U500&lt;&gt;"""", GOOGLETRANSLATE(U500, ""RO"", ""EN""), """")"),"Very interested")</f>
        <v>Very interested</v>
      </c>
      <c r="I500" s="5" t="str">
        <f>IFERROR(__xludf.DUMMYFUNCTION("IF(V500&lt;&gt;"""", GOOGLETRANSLATE(V500, ""RO"", ""EN""), """")"),"")</f>
        <v/>
      </c>
      <c r="J500" s="5" t="str">
        <f>IFERROR(__xludf.DUMMYFUNCTION("IF(W500&lt;&gt;"""", GOOGLETRANSLATE(W500, ""RO"", ""EN""), """")"),"")</f>
        <v/>
      </c>
      <c r="K500" s="5" t="str">
        <f>IFERROR(__xludf.DUMMYFUNCTION("IF(X500&lt;&gt;"""", GOOGLETRANSLATE(X500, ""RO"", ""EN""), """")"),"")</f>
        <v/>
      </c>
      <c r="L500" s="5" t="str">
        <f>IFERROR(__xludf.DUMMYFUNCTION("IF(S500&lt;&gt;"""", GOOGLETRANSLATE(S500, ""RO"", ""EN""), """")"),"Ns")</f>
        <v>Ns</v>
      </c>
      <c r="M500" s="5" t="str">
        <f>IFERROR(__xludf.DUMMYFUNCTION("IF(T500&lt;&gt;"""", GOOGLETRANSLATE(T500, ""RO"", ""EN""), """")"),"No.")</f>
        <v>No.</v>
      </c>
      <c r="N500" s="5" t="str">
        <f>IFERROR(__xludf.DUMMYFUNCTION("IF(Y500&lt;&gt;"""", GOOGLETRANSLATE(Y500, ""RO"", ""EN""), """")"),"")</f>
        <v/>
      </c>
      <c r="P500" s="4" t="s">
        <v>254</v>
      </c>
      <c r="Q500" s="4" t="s">
        <v>1481</v>
      </c>
      <c r="R500" s="4" t="s">
        <v>256</v>
      </c>
      <c r="S500" s="4" t="s">
        <v>103</v>
      </c>
      <c r="T500" s="4" t="s">
        <v>104</v>
      </c>
      <c r="U500" s="4" t="s">
        <v>257</v>
      </c>
    </row>
    <row r="501" ht="15.75" customHeight="1">
      <c r="A501" s="4" t="s">
        <v>1482</v>
      </c>
      <c r="B501" s="4" t="s">
        <v>1483</v>
      </c>
      <c r="C501" s="4" t="str">
        <f>IFERROR(__xludf.DUMMYFUNCTION("GOOGLETRANSLATE(B501, ""RO"", ""EN"")"),"How interested you were related to the campaign for the presidential elections: very interested, quite interested, not too interested or at all interested?")</f>
        <v>How interested you were related to the campaign for the presidential elections: very interested, quite interested, not too interested or at all interested?</v>
      </c>
      <c r="D501" s="5" t="str">
        <f>IFERROR(__xludf.DUMMYFUNCTION("IF(O501&lt;&gt;"""", GOOGLETRANSLATE(O501, ""RO"", ""EN""), """")"),"")</f>
        <v/>
      </c>
      <c r="E501" s="6" t="str">
        <f>IFERROR(__xludf.DUMMYFUNCTION("IF(P501&lt;&gt;"""", GOOGLETRANSLATE(P501, ""RO"", ""EN""), """")"),"Not at all interested")</f>
        <v>Not at all interested</v>
      </c>
      <c r="F501" s="5" t="str">
        <f>IFERROR(__xludf.DUMMYFUNCTION("IF(Q501&lt;&gt;"""", GOOGLETRANSLATE(Q501, ""RO"", ""EN""), """")"),"Not too interested")</f>
        <v>Not too interested</v>
      </c>
      <c r="G501" s="5" t="str">
        <f>IFERROR(__xludf.DUMMYFUNCTION("IF(R501&lt;&gt;"""", GOOGLETRANSLATE(R501, ""RO"", ""EN""), """")"),"Quite interested")</f>
        <v>Quite interested</v>
      </c>
      <c r="H501" s="5" t="str">
        <f>IFERROR(__xludf.DUMMYFUNCTION("IF(U501&lt;&gt;"""", GOOGLETRANSLATE(U501, ""RO"", ""EN""), """")"),"Very interested")</f>
        <v>Very interested</v>
      </c>
      <c r="I501" s="5" t="str">
        <f>IFERROR(__xludf.DUMMYFUNCTION("IF(V501&lt;&gt;"""", GOOGLETRANSLATE(V501, ""RO"", ""EN""), """")"),"")</f>
        <v/>
      </c>
      <c r="J501" s="5" t="str">
        <f>IFERROR(__xludf.DUMMYFUNCTION("IF(W501&lt;&gt;"""", GOOGLETRANSLATE(W501, ""RO"", ""EN""), """")"),"")</f>
        <v/>
      </c>
      <c r="K501" s="5" t="str">
        <f>IFERROR(__xludf.DUMMYFUNCTION("IF(X501&lt;&gt;"""", GOOGLETRANSLATE(X501, ""RO"", ""EN""), """")"),"")</f>
        <v/>
      </c>
      <c r="L501" s="5" t="str">
        <f>IFERROR(__xludf.DUMMYFUNCTION("IF(S501&lt;&gt;"""", GOOGLETRANSLATE(S501, ""RO"", ""EN""), """")"),"Ns")</f>
        <v>Ns</v>
      </c>
      <c r="M501" s="5" t="str">
        <f>IFERROR(__xludf.DUMMYFUNCTION("IF(T501&lt;&gt;"""", GOOGLETRANSLATE(T501, ""RO"", ""EN""), """")"),"No.")</f>
        <v>No.</v>
      </c>
      <c r="N501" s="5" t="str">
        <f>IFERROR(__xludf.DUMMYFUNCTION("IF(Y501&lt;&gt;"""", GOOGLETRANSLATE(Y501, ""RO"", ""EN""), """")"),"")</f>
        <v/>
      </c>
      <c r="P501" s="4" t="s">
        <v>254</v>
      </c>
      <c r="Q501" s="4" t="s">
        <v>1481</v>
      </c>
      <c r="R501" s="4" t="s">
        <v>256</v>
      </c>
      <c r="S501" s="4" t="s">
        <v>103</v>
      </c>
      <c r="T501" s="4" t="s">
        <v>104</v>
      </c>
      <c r="U501" s="4" t="s">
        <v>257</v>
      </c>
    </row>
    <row r="502" ht="15.75" customHeight="1">
      <c r="A502" s="4" t="s">
        <v>1484</v>
      </c>
      <c r="B502" s="4" t="s">
        <v>1485</v>
      </c>
      <c r="C502" s="4" t="str">
        <f>IFERROR(__xludf.DUMMYFUNCTION("GOOGLETRANSLATE(B502, ""RO"", ""EN"")"),"During the election campaign for the presidential elections, how often ...: Did you watch a TV program related to elections?")</f>
        <v>During the election campaign for the presidential elections, how often ...: Did you watch a TV program related to elections?</v>
      </c>
      <c r="D502" s="5" t="str">
        <f>IFERROR(__xludf.DUMMYFUNCTION("IF(O502&lt;&gt;"""", GOOGLETRANSLATE(O502, ""RO"", ""EN""), """")"),"")</f>
        <v/>
      </c>
      <c r="E502" s="6" t="str">
        <f>IFERROR(__xludf.DUMMYFUNCTION("IF(P502&lt;&gt;"""", GOOGLETRANSLATE(P502, ""RO"", ""EN""), """")"),"Daily / almost daily")</f>
        <v>Daily / almost daily</v>
      </c>
      <c r="F502" s="5" t="str">
        <f>IFERROR(__xludf.DUMMYFUNCTION("IF(Q502&lt;&gt;"""", GOOGLETRANSLATE(Q502, ""RO"", ""EN""), """")"),"Several times a week")</f>
        <v>Several times a week</v>
      </c>
      <c r="G502" s="5" t="str">
        <f>IFERROR(__xludf.DUMMYFUNCTION("IF(R502&lt;&gt;"""", GOOGLETRANSLATE(R502, ""RO"", ""EN""), """")"),"Several times in the whole campaign")</f>
        <v>Several times in the whole campaign</v>
      </c>
      <c r="H502" s="5" t="str">
        <f>IFERROR(__xludf.DUMMYFUNCTION("IF(U502&lt;&gt;"""", GOOGLETRANSLATE(U502, ""RO"", ""EN""), """")"),"Once")</f>
        <v>Once</v>
      </c>
      <c r="I502" s="5" t="str">
        <f>IFERROR(__xludf.DUMMYFUNCTION("IF(V502&lt;&gt;"""", GOOGLETRANSLATE(V502, ""RO"", ""EN""), """")"),"Not at all")</f>
        <v>Not at all</v>
      </c>
      <c r="J502" s="5" t="str">
        <f>IFERROR(__xludf.DUMMYFUNCTION("IF(W502&lt;&gt;"""", GOOGLETRANSLATE(W502, ""RO"", ""EN""), """")"),"")</f>
        <v/>
      </c>
      <c r="K502" s="5" t="str">
        <f>IFERROR(__xludf.DUMMYFUNCTION("IF(X502&lt;&gt;"""", GOOGLETRANSLATE(X502, ""RO"", ""EN""), """")"),"")</f>
        <v/>
      </c>
      <c r="L502" s="5" t="str">
        <f>IFERROR(__xludf.DUMMYFUNCTION("IF(S502&lt;&gt;"""", GOOGLETRANSLATE(S502, ""RO"", ""EN""), """")"),"Ns")</f>
        <v>Ns</v>
      </c>
      <c r="M502" s="5" t="str">
        <f>IFERROR(__xludf.DUMMYFUNCTION("IF(T502&lt;&gt;"""", GOOGLETRANSLATE(T502, ""RO"", ""EN""), """")"),"No.")</f>
        <v>No.</v>
      </c>
      <c r="N502" s="5" t="str">
        <f>IFERROR(__xludf.DUMMYFUNCTION("IF(Y502&lt;&gt;"""", GOOGLETRANSLATE(Y502, ""RO"", ""EN""), """")"),"")</f>
        <v/>
      </c>
      <c r="P502" s="4" t="s">
        <v>1486</v>
      </c>
      <c r="Q502" s="4" t="s">
        <v>839</v>
      </c>
      <c r="R502" s="4" t="s">
        <v>1487</v>
      </c>
      <c r="S502" s="4" t="s">
        <v>103</v>
      </c>
      <c r="T502" s="4" t="s">
        <v>104</v>
      </c>
      <c r="U502" s="4" t="s">
        <v>1488</v>
      </c>
      <c r="V502" s="4" t="s">
        <v>363</v>
      </c>
    </row>
    <row r="503" ht="15.75" customHeight="1">
      <c r="A503" s="4" t="s">
        <v>1489</v>
      </c>
      <c r="B503" s="4" t="s">
        <v>1490</v>
      </c>
      <c r="C503" s="4" t="str">
        <f>IFERROR(__xludf.DUMMYFUNCTION("GOOGLETRANSLATE(B503, ""RO"", ""EN"")"),"... Have you read information about elections in a newspaper?")</f>
        <v>... Have you read information about elections in a newspaper?</v>
      </c>
      <c r="D503" s="5" t="str">
        <f>IFERROR(__xludf.DUMMYFUNCTION("IF(O503&lt;&gt;"""", GOOGLETRANSLATE(O503, ""RO"", ""EN""), """")"),"")</f>
        <v/>
      </c>
      <c r="E503" s="6" t="str">
        <f>IFERROR(__xludf.DUMMYFUNCTION("IF(P503&lt;&gt;"""", GOOGLETRANSLATE(P503, ""RO"", ""EN""), """")"),"Daily / almost daily")</f>
        <v>Daily / almost daily</v>
      </c>
      <c r="F503" s="5" t="str">
        <f>IFERROR(__xludf.DUMMYFUNCTION("IF(Q503&lt;&gt;"""", GOOGLETRANSLATE(Q503, ""RO"", ""EN""), """")"),"Several times a week")</f>
        <v>Several times a week</v>
      </c>
      <c r="G503" s="5" t="str">
        <f>IFERROR(__xludf.DUMMYFUNCTION("IF(R503&lt;&gt;"""", GOOGLETRANSLATE(R503, ""RO"", ""EN""), """")"),"Several times in the whole campaign")</f>
        <v>Several times in the whole campaign</v>
      </c>
      <c r="H503" s="5" t="str">
        <f>IFERROR(__xludf.DUMMYFUNCTION("IF(U503&lt;&gt;"""", GOOGLETRANSLATE(U503, ""RO"", ""EN""), """")"),"Once")</f>
        <v>Once</v>
      </c>
      <c r="I503" s="5" t="str">
        <f>IFERROR(__xludf.DUMMYFUNCTION("IF(V503&lt;&gt;"""", GOOGLETRANSLATE(V503, ""RO"", ""EN""), """")"),"Not at all")</f>
        <v>Not at all</v>
      </c>
      <c r="J503" s="5" t="str">
        <f>IFERROR(__xludf.DUMMYFUNCTION("IF(W503&lt;&gt;"""", GOOGLETRANSLATE(W503, ""RO"", ""EN""), """")"),"")</f>
        <v/>
      </c>
      <c r="K503" s="5" t="str">
        <f>IFERROR(__xludf.DUMMYFUNCTION("IF(X503&lt;&gt;"""", GOOGLETRANSLATE(X503, ""RO"", ""EN""), """")"),"")</f>
        <v/>
      </c>
      <c r="L503" s="5" t="str">
        <f>IFERROR(__xludf.DUMMYFUNCTION("IF(S503&lt;&gt;"""", GOOGLETRANSLATE(S503, ""RO"", ""EN""), """")"),"Ns")</f>
        <v>Ns</v>
      </c>
      <c r="M503" s="5" t="str">
        <f>IFERROR(__xludf.DUMMYFUNCTION("IF(T503&lt;&gt;"""", GOOGLETRANSLATE(T503, ""RO"", ""EN""), """")"),"No.")</f>
        <v>No.</v>
      </c>
      <c r="N503" s="5" t="str">
        <f>IFERROR(__xludf.DUMMYFUNCTION("IF(Y503&lt;&gt;"""", GOOGLETRANSLATE(Y503, ""RO"", ""EN""), """")"),"")</f>
        <v/>
      </c>
      <c r="P503" s="4" t="s">
        <v>1486</v>
      </c>
      <c r="Q503" s="4" t="s">
        <v>839</v>
      </c>
      <c r="R503" s="4" t="s">
        <v>1487</v>
      </c>
      <c r="S503" s="4" t="s">
        <v>103</v>
      </c>
      <c r="T503" s="4" t="s">
        <v>104</v>
      </c>
      <c r="U503" s="4" t="s">
        <v>1488</v>
      </c>
      <c r="V503" s="4" t="s">
        <v>363</v>
      </c>
    </row>
    <row r="504" ht="15.75" customHeight="1">
      <c r="A504" s="4" t="s">
        <v>1491</v>
      </c>
      <c r="B504" s="4" t="s">
        <v>1492</v>
      </c>
      <c r="C504" s="4" t="str">
        <f>IFERROR(__xludf.DUMMYFUNCTION("GOOGLETRANSLATE(B504, ""RO"", ""EN"")"),"... Did you listen to shows about radio choices?")</f>
        <v>... Did you listen to shows about radio choices?</v>
      </c>
      <c r="D504" s="5" t="str">
        <f>IFERROR(__xludf.DUMMYFUNCTION("IF(O504&lt;&gt;"""", GOOGLETRANSLATE(O504, ""RO"", ""EN""), """")"),"")</f>
        <v/>
      </c>
      <c r="E504" s="6" t="str">
        <f>IFERROR(__xludf.DUMMYFUNCTION("IF(P504&lt;&gt;"""", GOOGLETRANSLATE(P504, ""RO"", ""EN""), """")"),"Daily / almost daily")</f>
        <v>Daily / almost daily</v>
      </c>
      <c r="F504" s="5" t="str">
        <f>IFERROR(__xludf.DUMMYFUNCTION("IF(Q504&lt;&gt;"""", GOOGLETRANSLATE(Q504, ""RO"", ""EN""), """")"),"Several times a week")</f>
        <v>Several times a week</v>
      </c>
      <c r="G504" s="5" t="str">
        <f>IFERROR(__xludf.DUMMYFUNCTION("IF(R504&lt;&gt;"""", GOOGLETRANSLATE(R504, ""RO"", ""EN""), """")"),"Several times in the whole campaign")</f>
        <v>Several times in the whole campaign</v>
      </c>
      <c r="H504" s="5" t="str">
        <f>IFERROR(__xludf.DUMMYFUNCTION("IF(U504&lt;&gt;"""", GOOGLETRANSLATE(U504, ""RO"", ""EN""), """")"),"Once")</f>
        <v>Once</v>
      </c>
      <c r="I504" s="5" t="str">
        <f>IFERROR(__xludf.DUMMYFUNCTION("IF(V504&lt;&gt;"""", GOOGLETRANSLATE(V504, ""RO"", ""EN""), """")"),"Not at all")</f>
        <v>Not at all</v>
      </c>
      <c r="J504" s="5" t="str">
        <f>IFERROR(__xludf.DUMMYFUNCTION("IF(W504&lt;&gt;"""", GOOGLETRANSLATE(W504, ""RO"", ""EN""), """")"),"")</f>
        <v/>
      </c>
      <c r="K504" s="5" t="str">
        <f>IFERROR(__xludf.DUMMYFUNCTION("IF(X504&lt;&gt;"""", GOOGLETRANSLATE(X504, ""RO"", ""EN""), """")"),"")</f>
        <v/>
      </c>
      <c r="L504" s="5" t="str">
        <f>IFERROR(__xludf.DUMMYFUNCTION("IF(S504&lt;&gt;"""", GOOGLETRANSLATE(S504, ""RO"", ""EN""), """")"),"Ns")</f>
        <v>Ns</v>
      </c>
      <c r="M504" s="5" t="str">
        <f>IFERROR(__xludf.DUMMYFUNCTION("IF(T504&lt;&gt;"""", GOOGLETRANSLATE(T504, ""RO"", ""EN""), """")"),"No.")</f>
        <v>No.</v>
      </c>
      <c r="N504" s="5" t="str">
        <f>IFERROR(__xludf.DUMMYFUNCTION("IF(Y504&lt;&gt;"""", GOOGLETRANSLATE(Y504, ""RO"", ""EN""), """")"),"")</f>
        <v/>
      </c>
      <c r="P504" s="4" t="s">
        <v>1486</v>
      </c>
      <c r="Q504" s="4" t="s">
        <v>839</v>
      </c>
      <c r="R504" s="4" t="s">
        <v>1487</v>
      </c>
      <c r="S504" s="4" t="s">
        <v>103</v>
      </c>
      <c r="T504" s="4" t="s">
        <v>104</v>
      </c>
      <c r="U504" s="4" t="s">
        <v>1488</v>
      </c>
      <c r="V504" s="4" t="s">
        <v>363</v>
      </c>
    </row>
    <row r="505" ht="15.75" customHeight="1">
      <c r="A505" s="4" t="s">
        <v>1493</v>
      </c>
      <c r="B505" s="4" t="s">
        <v>1494</v>
      </c>
      <c r="C505" s="4" t="str">
        <f>IFERROR(__xludf.DUMMYFUNCTION("GOOGLETRANSLATE(B505, ""RO"", ""EN"")"),"... Have you talked about choices with friends or family?")</f>
        <v>... Have you talked about choices with friends or family?</v>
      </c>
      <c r="D505" s="5" t="str">
        <f>IFERROR(__xludf.DUMMYFUNCTION("IF(O505&lt;&gt;"""", GOOGLETRANSLATE(O505, ""RO"", ""EN""), """")"),"")</f>
        <v/>
      </c>
      <c r="E505" s="6" t="str">
        <f>IFERROR(__xludf.DUMMYFUNCTION("IF(P505&lt;&gt;"""", GOOGLETRANSLATE(P505, ""RO"", ""EN""), """")"),"Daily / almost daily")</f>
        <v>Daily / almost daily</v>
      </c>
      <c r="F505" s="5" t="str">
        <f>IFERROR(__xludf.DUMMYFUNCTION("IF(Q505&lt;&gt;"""", GOOGLETRANSLATE(Q505, ""RO"", ""EN""), """")"),"Several times a week")</f>
        <v>Several times a week</v>
      </c>
      <c r="G505" s="5" t="str">
        <f>IFERROR(__xludf.DUMMYFUNCTION("IF(R505&lt;&gt;"""", GOOGLETRANSLATE(R505, ""RO"", ""EN""), """")"),"Several times in the whole campaign")</f>
        <v>Several times in the whole campaign</v>
      </c>
      <c r="H505" s="5" t="str">
        <f>IFERROR(__xludf.DUMMYFUNCTION("IF(U505&lt;&gt;"""", GOOGLETRANSLATE(U505, ""RO"", ""EN""), """")"),"Once")</f>
        <v>Once</v>
      </c>
      <c r="I505" s="5" t="str">
        <f>IFERROR(__xludf.DUMMYFUNCTION("IF(V505&lt;&gt;"""", GOOGLETRANSLATE(V505, ""RO"", ""EN""), """")"),"Not at all")</f>
        <v>Not at all</v>
      </c>
      <c r="J505" s="5" t="str">
        <f>IFERROR(__xludf.DUMMYFUNCTION("IF(W505&lt;&gt;"""", GOOGLETRANSLATE(W505, ""RO"", ""EN""), """")"),"")</f>
        <v/>
      </c>
      <c r="K505" s="5" t="str">
        <f>IFERROR(__xludf.DUMMYFUNCTION("IF(X505&lt;&gt;"""", GOOGLETRANSLATE(X505, ""RO"", ""EN""), """")"),"")</f>
        <v/>
      </c>
      <c r="L505" s="5" t="str">
        <f>IFERROR(__xludf.DUMMYFUNCTION("IF(S505&lt;&gt;"""", GOOGLETRANSLATE(S505, ""RO"", ""EN""), """")"),"Ns")</f>
        <v>Ns</v>
      </c>
      <c r="M505" s="5" t="str">
        <f>IFERROR(__xludf.DUMMYFUNCTION("IF(T505&lt;&gt;"""", GOOGLETRANSLATE(T505, ""RO"", ""EN""), """")"),"No.")</f>
        <v>No.</v>
      </c>
      <c r="N505" s="5" t="str">
        <f>IFERROR(__xludf.DUMMYFUNCTION("IF(Y505&lt;&gt;"""", GOOGLETRANSLATE(Y505, ""RO"", ""EN""), """")"),"")</f>
        <v/>
      </c>
      <c r="P505" s="4" t="s">
        <v>1486</v>
      </c>
      <c r="Q505" s="4" t="s">
        <v>839</v>
      </c>
      <c r="R505" s="4" t="s">
        <v>1487</v>
      </c>
      <c r="S505" s="4" t="s">
        <v>103</v>
      </c>
      <c r="T505" s="4" t="s">
        <v>104</v>
      </c>
      <c r="U505" s="4" t="s">
        <v>1488</v>
      </c>
      <c r="V505" s="4" t="s">
        <v>363</v>
      </c>
    </row>
    <row r="506" ht="15.75" customHeight="1">
      <c r="A506" s="4" t="s">
        <v>1495</v>
      </c>
      <c r="B506" s="4" t="s">
        <v>1496</v>
      </c>
      <c r="C506" s="4" t="str">
        <f>IFERROR(__xludf.DUMMYFUNCTION("GOOGLETRANSLATE(B506, ""RO"", ""EN"")"),"... Did you access an internet page about choices?")</f>
        <v>... Did you access an internet page about choices?</v>
      </c>
      <c r="D506" s="5" t="str">
        <f>IFERROR(__xludf.DUMMYFUNCTION("IF(O506&lt;&gt;"""", GOOGLETRANSLATE(O506, ""RO"", ""EN""), """")"),"")</f>
        <v/>
      </c>
      <c r="E506" s="6" t="str">
        <f>IFERROR(__xludf.DUMMYFUNCTION("IF(P506&lt;&gt;"""", GOOGLETRANSLATE(P506, ""RO"", ""EN""), """")"),"Daily / almost daily")</f>
        <v>Daily / almost daily</v>
      </c>
      <c r="F506" s="5" t="str">
        <f>IFERROR(__xludf.DUMMYFUNCTION("IF(Q506&lt;&gt;"""", GOOGLETRANSLATE(Q506, ""RO"", ""EN""), """")"),"Several times a week")</f>
        <v>Several times a week</v>
      </c>
      <c r="G506" s="5" t="str">
        <f>IFERROR(__xludf.DUMMYFUNCTION("IF(R506&lt;&gt;"""", GOOGLETRANSLATE(R506, ""RO"", ""EN""), """")"),"Several times in the whole campaign")</f>
        <v>Several times in the whole campaign</v>
      </c>
      <c r="H506" s="5" t="str">
        <f>IFERROR(__xludf.DUMMYFUNCTION("IF(U506&lt;&gt;"""", GOOGLETRANSLATE(U506, ""RO"", ""EN""), """")"),"Once")</f>
        <v>Once</v>
      </c>
      <c r="I506" s="5" t="str">
        <f>IFERROR(__xludf.DUMMYFUNCTION("IF(V506&lt;&gt;"""", GOOGLETRANSLATE(V506, ""RO"", ""EN""), """")"),"Not at all")</f>
        <v>Not at all</v>
      </c>
      <c r="J506" s="5" t="str">
        <f>IFERROR(__xludf.DUMMYFUNCTION("IF(W506&lt;&gt;"""", GOOGLETRANSLATE(W506, ""RO"", ""EN""), """")"),"")</f>
        <v/>
      </c>
      <c r="K506" s="5" t="str">
        <f>IFERROR(__xludf.DUMMYFUNCTION("IF(X506&lt;&gt;"""", GOOGLETRANSLATE(X506, ""RO"", ""EN""), """")"),"")</f>
        <v/>
      </c>
      <c r="L506" s="5" t="str">
        <f>IFERROR(__xludf.DUMMYFUNCTION("IF(S506&lt;&gt;"""", GOOGLETRANSLATE(S506, ""RO"", ""EN""), """")"),"Ns")</f>
        <v>Ns</v>
      </c>
      <c r="M506" s="5" t="str">
        <f>IFERROR(__xludf.DUMMYFUNCTION("IF(T506&lt;&gt;"""", GOOGLETRANSLATE(T506, ""RO"", ""EN""), """")"),"No.")</f>
        <v>No.</v>
      </c>
      <c r="N506" s="5" t="str">
        <f>IFERROR(__xludf.DUMMYFUNCTION("IF(Y506&lt;&gt;"""", GOOGLETRANSLATE(Y506, ""RO"", ""EN""), """")"),"")</f>
        <v/>
      </c>
      <c r="P506" s="4" t="s">
        <v>1486</v>
      </c>
      <c r="Q506" s="4" t="s">
        <v>839</v>
      </c>
      <c r="R506" s="4" t="s">
        <v>1487</v>
      </c>
      <c r="S506" s="4" t="s">
        <v>103</v>
      </c>
      <c r="T506" s="4" t="s">
        <v>104</v>
      </c>
      <c r="U506" s="4" t="s">
        <v>1488</v>
      </c>
      <c r="V506" s="4" t="s">
        <v>363</v>
      </c>
    </row>
    <row r="507" ht="15.75" customHeight="1">
      <c r="A507" s="4" t="s">
        <v>1497</v>
      </c>
      <c r="B507" s="4" t="s">
        <v>1498</v>
      </c>
      <c r="C507" s="4" t="str">
        <f>IFERROR(__xludf.DUMMYFUNCTION("GOOGLETRANSLATE(B507, ""RO"", ""EN"")"),"During the election campaign for the presidential elections, ...: Did you participate in a rally or a meeting related to the elections?")</f>
        <v>During the election campaign for the presidential elections, ...: Did you participate in a rally or a meeting related to the elections?</v>
      </c>
      <c r="D507" s="5" t="str">
        <f>IFERROR(__xludf.DUMMYFUNCTION("IF(O507&lt;&gt;"""", GOOGLETRANSLATE(O507, ""RO"", ""EN""), """")"),"")</f>
        <v/>
      </c>
      <c r="E507" s="6" t="str">
        <f>IFERROR(__xludf.DUMMYFUNCTION("IF(P507&lt;&gt;"""", GOOGLETRANSLATE(P507, ""RO"", ""EN""), """")"),"Yes")</f>
        <v>Yes</v>
      </c>
      <c r="F507" s="5" t="str">
        <f>IFERROR(__xludf.DUMMYFUNCTION("IF(Q507&lt;&gt;"""", GOOGLETRANSLATE(Q507, ""RO"", ""EN""), """")"),"Not")</f>
        <v>Not</v>
      </c>
      <c r="G507" s="5" t="str">
        <f>IFERROR(__xludf.DUMMYFUNCTION("IF(R507&lt;&gt;"""", GOOGLETRANSLATE(R507, ""RO"", ""EN""), """")"),"")</f>
        <v/>
      </c>
      <c r="H507" s="5" t="str">
        <f>IFERROR(__xludf.DUMMYFUNCTION("IF(U507&lt;&gt;"""", GOOGLETRANSLATE(U507, ""RO"", ""EN""), """")"),"")</f>
        <v/>
      </c>
      <c r="I507" s="5" t="str">
        <f>IFERROR(__xludf.DUMMYFUNCTION("IF(V507&lt;&gt;"""", GOOGLETRANSLATE(V507, ""RO"", ""EN""), """")"),"")</f>
        <v/>
      </c>
      <c r="J507" s="5" t="str">
        <f>IFERROR(__xludf.DUMMYFUNCTION("IF(W507&lt;&gt;"""", GOOGLETRANSLATE(W507, ""RO"", ""EN""), """")"),"")</f>
        <v/>
      </c>
      <c r="K507" s="5" t="str">
        <f>IFERROR(__xludf.DUMMYFUNCTION("IF(X507&lt;&gt;"""", GOOGLETRANSLATE(X507, ""RO"", ""EN""), """")"),"")</f>
        <v/>
      </c>
      <c r="L507" s="5" t="str">
        <f>IFERROR(__xludf.DUMMYFUNCTION("IF(S507&lt;&gt;"""", GOOGLETRANSLATE(S507, ""RO"", ""EN""), """")"),"Ns")</f>
        <v>Ns</v>
      </c>
      <c r="M507" s="5" t="str">
        <f>IFERROR(__xludf.DUMMYFUNCTION("IF(T507&lt;&gt;"""", GOOGLETRANSLATE(T507, ""RO"", ""EN""), """")"),"No.")</f>
        <v>No.</v>
      </c>
      <c r="N507" s="5" t="str">
        <f>IFERROR(__xludf.DUMMYFUNCTION("IF(Y507&lt;&gt;"""", GOOGLETRANSLATE(Y507, ""RO"", ""EN""), """")"),"")</f>
        <v/>
      </c>
      <c r="P507" s="4" t="s">
        <v>639</v>
      </c>
      <c r="Q507" s="4" t="s">
        <v>640</v>
      </c>
      <c r="S507" s="4" t="s">
        <v>103</v>
      </c>
      <c r="T507" s="4" t="s">
        <v>104</v>
      </c>
    </row>
    <row r="508" ht="15.75" customHeight="1">
      <c r="A508" s="4" t="s">
        <v>1499</v>
      </c>
      <c r="B508" s="4" t="s">
        <v>1500</v>
      </c>
      <c r="C508" s="4" t="str">
        <f>IFERROR(__xludf.DUMMYFUNCTION("GOOGLETRANSLATE(B508, ""RO"", ""EN"")"),"... Did you work voluntarily in favor of a candidate?")</f>
        <v>... Did you work voluntarily in favor of a candidate?</v>
      </c>
      <c r="D508" s="5" t="str">
        <f>IFERROR(__xludf.DUMMYFUNCTION("IF(O508&lt;&gt;"""", GOOGLETRANSLATE(O508, ""RO"", ""EN""), """")"),"")</f>
        <v/>
      </c>
      <c r="E508" s="6" t="str">
        <f>IFERROR(__xludf.DUMMYFUNCTION("IF(P508&lt;&gt;"""", GOOGLETRANSLATE(P508, ""RO"", ""EN""), """")"),"Yes")</f>
        <v>Yes</v>
      </c>
      <c r="F508" s="5" t="str">
        <f>IFERROR(__xludf.DUMMYFUNCTION("IF(Q508&lt;&gt;"""", GOOGLETRANSLATE(Q508, ""RO"", ""EN""), """")"),"Not")</f>
        <v>Not</v>
      </c>
      <c r="G508" s="5" t="str">
        <f>IFERROR(__xludf.DUMMYFUNCTION("IF(R508&lt;&gt;"""", GOOGLETRANSLATE(R508, ""RO"", ""EN""), """")"),"")</f>
        <v/>
      </c>
      <c r="H508" s="5" t="str">
        <f>IFERROR(__xludf.DUMMYFUNCTION("IF(U508&lt;&gt;"""", GOOGLETRANSLATE(U508, ""RO"", ""EN""), """")"),"")</f>
        <v/>
      </c>
      <c r="I508" s="5" t="str">
        <f>IFERROR(__xludf.DUMMYFUNCTION("IF(V508&lt;&gt;"""", GOOGLETRANSLATE(V508, ""RO"", ""EN""), """")"),"")</f>
        <v/>
      </c>
      <c r="J508" s="5" t="str">
        <f>IFERROR(__xludf.DUMMYFUNCTION("IF(W508&lt;&gt;"""", GOOGLETRANSLATE(W508, ""RO"", ""EN""), """")"),"")</f>
        <v/>
      </c>
      <c r="K508" s="5" t="str">
        <f>IFERROR(__xludf.DUMMYFUNCTION("IF(X508&lt;&gt;"""", GOOGLETRANSLATE(X508, ""RO"", ""EN""), """")"),"")</f>
        <v/>
      </c>
      <c r="L508" s="5" t="str">
        <f>IFERROR(__xludf.DUMMYFUNCTION("IF(S508&lt;&gt;"""", GOOGLETRANSLATE(S508, ""RO"", ""EN""), """")"),"Ns")</f>
        <v>Ns</v>
      </c>
      <c r="M508" s="5" t="str">
        <f>IFERROR(__xludf.DUMMYFUNCTION("IF(T508&lt;&gt;"""", GOOGLETRANSLATE(T508, ""RO"", ""EN""), """")"),"No.")</f>
        <v>No.</v>
      </c>
      <c r="N508" s="5" t="str">
        <f>IFERROR(__xludf.DUMMYFUNCTION("IF(Y508&lt;&gt;"""", GOOGLETRANSLATE(Y508, ""RO"", ""EN""), """")"),"")</f>
        <v/>
      </c>
      <c r="P508" s="4" t="s">
        <v>639</v>
      </c>
      <c r="Q508" s="4" t="s">
        <v>640</v>
      </c>
      <c r="S508" s="4" t="s">
        <v>103</v>
      </c>
      <c r="T508" s="4" t="s">
        <v>104</v>
      </c>
    </row>
    <row r="509" ht="15.75" customHeight="1">
      <c r="A509" s="4" t="s">
        <v>1501</v>
      </c>
      <c r="B509" s="4" t="s">
        <v>1502</v>
      </c>
      <c r="C509" s="4" t="str">
        <f>IFERROR(__xludf.DUMMYFUNCTION("GOOGLETRANSLATE(B509, ""RO"", ""EN"")"),"... Did you donate money for a candidate?")</f>
        <v>... Did you donate money for a candidate?</v>
      </c>
      <c r="D509" s="5" t="str">
        <f>IFERROR(__xludf.DUMMYFUNCTION("IF(O509&lt;&gt;"""", GOOGLETRANSLATE(O509, ""RO"", ""EN""), """")"),"")</f>
        <v/>
      </c>
      <c r="E509" s="6" t="str">
        <f>IFERROR(__xludf.DUMMYFUNCTION("IF(P509&lt;&gt;"""", GOOGLETRANSLATE(P509, ""RO"", ""EN""), """")"),"Yes")</f>
        <v>Yes</v>
      </c>
      <c r="F509" s="5" t="str">
        <f>IFERROR(__xludf.DUMMYFUNCTION("IF(Q509&lt;&gt;"""", GOOGLETRANSLATE(Q509, ""RO"", ""EN""), """")"),"Not")</f>
        <v>Not</v>
      </c>
      <c r="G509" s="5" t="str">
        <f>IFERROR(__xludf.DUMMYFUNCTION("IF(R509&lt;&gt;"""", GOOGLETRANSLATE(R509, ""RO"", ""EN""), """")"),"")</f>
        <v/>
      </c>
      <c r="H509" s="5" t="str">
        <f>IFERROR(__xludf.DUMMYFUNCTION("IF(U509&lt;&gt;"""", GOOGLETRANSLATE(U509, ""RO"", ""EN""), """")"),"")</f>
        <v/>
      </c>
      <c r="I509" s="5" t="str">
        <f>IFERROR(__xludf.DUMMYFUNCTION("IF(V509&lt;&gt;"""", GOOGLETRANSLATE(V509, ""RO"", ""EN""), """")"),"")</f>
        <v/>
      </c>
      <c r="J509" s="5" t="str">
        <f>IFERROR(__xludf.DUMMYFUNCTION("IF(W509&lt;&gt;"""", GOOGLETRANSLATE(W509, ""RO"", ""EN""), """")"),"")</f>
        <v/>
      </c>
      <c r="K509" s="5" t="str">
        <f>IFERROR(__xludf.DUMMYFUNCTION("IF(X509&lt;&gt;"""", GOOGLETRANSLATE(X509, ""RO"", ""EN""), """")"),"")</f>
        <v/>
      </c>
      <c r="L509" s="5" t="str">
        <f>IFERROR(__xludf.DUMMYFUNCTION("IF(S509&lt;&gt;"""", GOOGLETRANSLATE(S509, ""RO"", ""EN""), """")"),"Ns")</f>
        <v>Ns</v>
      </c>
      <c r="M509" s="5" t="str">
        <f>IFERROR(__xludf.DUMMYFUNCTION("IF(T509&lt;&gt;"""", GOOGLETRANSLATE(T509, ""RO"", ""EN""), """")"),"No.")</f>
        <v>No.</v>
      </c>
      <c r="N509" s="5" t="str">
        <f>IFERROR(__xludf.DUMMYFUNCTION("IF(Y509&lt;&gt;"""", GOOGLETRANSLATE(Y509, ""RO"", ""EN""), """")"),"")</f>
        <v/>
      </c>
      <c r="P509" s="4" t="s">
        <v>639</v>
      </c>
      <c r="Q509" s="4" t="s">
        <v>640</v>
      </c>
      <c r="S509" s="4" t="s">
        <v>103</v>
      </c>
      <c r="T509" s="4" t="s">
        <v>104</v>
      </c>
    </row>
    <row r="510" ht="15.75" customHeight="1">
      <c r="A510" s="4" t="s">
        <v>1503</v>
      </c>
      <c r="B510" s="4" t="s">
        <v>1504</v>
      </c>
      <c r="C510" s="4" t="str">
        <f>IFERROR(__xludf.DUMMYFUNCTION("GOOGLETRANSLATE(B510, ""RO"", ""EN"")"),"Have you been contacted by a candidate, party or representative of them during the election campaign through ...? By post (letters, leaflets, butterflies, etc.)")</f>
        <v>Have you been contacted by a candidate, party or representative of them during the election campaign through ...? By post (letters, leaflets, butterflies, etc.)</v>
      </c>
      <c r="D510" s="5" t="str">
        <f>IFERROR(__xludf.DUMMYFUNCTION("IF(O510&lt;&gt;"""", GOOGLETRANSLATE(O510, ""RO"", ""EN""), """")"),"")</f>
        <v/>
      </c>
      <c r="E510" s="6" t="str">
        <f>IFERROR(__xludf.DUMMYFUNCTION("IF(P510&lt;&gt;"""", GOOGLETRANSLATE(P510, ""RO"", ""EN""), """")"),"Yes")</f>
        <v>Yes</v>
      </c>
      <c r="F510" s="5" t="str">
        <f>IFERROR(__xludf.DUMMYFUNCTION("IF(Q510&lt;&gt;"""", GOOGLETRANSLATE(Q510, ""RO"", ""EN""), """")"),"Not")</f>
        <v>Not</v>
      </c>
      <c r="G510" s="5" t="str">
        <f>IFERROR(__xludf.DUMMYFUNCTION("IF(R510&lt;&gt;"""", GOOGLETRANSLATE(R510, ""RO"", ""EN""), """")"),"")</f>
        <v/>
      </c>
      <c r="H510" s="5" t="str">
        <f>IFERROR(__xludf.DUMMYFUNCTION("IF(U510&lt;&gt;"""", GOOGLETRANSLATE(U510, ""RO"", ""EN""), """")"),"")</f>
        <v/>
      </c>
      <c r="I510" s="5" t="str">
        <f>IFERROR(__xludf.DUMMYFUNCTION("IF(V510&lt;&gt;"""", GOOGLETRANSLATE(V510, ""RO"", ""EN""), """")"),"")</f>
        <v/>
      </c>
      <c r="J510" s="5" t="str">
        <f>IFERROR(__xludf.DUMMYFUNCTION("IF(W510&lt;&gt;"""", GOOGLETRANSLATE(W510, ""RO"", ""EN""), """")"),"")</f>
        <v/>
      </c>
      <c r="K510" s="5" t="str">
        <f>IFERROR(__xludf.DUMMYFUNCTION("IF(X510&lt;&gt;"""", GOOGLETRANSLATE(X510, ""RO"", ""EN""), """")"),"")</f>
        <v/>
      </c>
      <c r="L510" s="5" t="str">
        <f>IFERROR(__xludf.DUMMYFUNCTION("IF(S510&lt;&gt;"""", GOOGLETRANSLATE(S510, ""RO"", ""EN""), """")"),"Ns")</f>
        <v>Ns</v>
      </c>
      <c r="M510" s="5" t="str">
        <f>IFERROR(__xludf.DUMMYFUNCTION("IF(T510&lt;&gt;"""", GOOGLETRANSLATE(T510, ""RO"", ""EN""), """")"),"No.")</f>
        <v>No.</v>
      </c>
      <c r="N510" s="5" t="str">
        <f>IFERROR(__xludf.DUMMYFUNCTION("IF(Y510&lt;&gt;"""", GOOGLETRANSLATE(Y510, ""RO"", ""EN""), """")"),"")</f>
        <v/>
      </c>
      <c r="P510" s="4" t="s">
        <v>639</v>
      </c>
      <c r="Q510" s="4" t="s">
        <v>640</v>
      </c>
      <c r="S510" s="4" t="s">
        <v>103</v>
      </c>
      <c r="T510" s="4" t="s">
        <v>104</v>
      </c>
    </row>
    <row r="511" ht="15.75" customHeight="1">
      <c r="A511" s="4" t="s">
        <v>1505</v>
      </c>
      <c r="B511" s="4" t="s">
        <v>1506</v>
      </c>
      <c r="C511" s="4" t="str">
        <f>IFERROR(__xludf.DUMMYFUNCTION("GOOGLETRANSLATE(B511, ""RO"", ""EN"")"),"Face to face, on the street, in shopping centers or in other public places")</f>
        <v>Face to face, on the street, in shopping centers or in other public places</v>
      </c>
      <c r="D511" s="5" t="str">
        <f>IFERROR(__xludf.DUMMYFUNCTION("IF(O511&lt;&gt;"""", GOOGLETRANSLATE(O511, ""RO"", ""EN""), """")"),"")</f>
        <v/>
      </c>
      <c r="E511" s="6" t="str">
        <f>IFERROR(__xludf.DUMMYFUNCTION("IF(P511&lt;&gt;"""", GOOGLETRANSLATE(P511, ""RO"", ""EN""), """")"),"Yes")</f>
        <v>Yes</v>
      </c>
      <c r="F511" s="5" t="str">
        <f>IFERROR(__xludf.DUMMYFUNCTION("IF(Q511&lt;&gt;"""", GOOGLETRANSLATE(Q511, ""RO"", ""EN""), """")"),"Not")</f>
        <v>Not</v>
      </c>
      <c r="G511" s="5" t="str">
        <f>IFERROR(__xludf.DUMMYFUNCTION("IF(R511&lt;&gt;"""", GOOGLETRANSLATE(R511, ""RO"", ""EN""), """")"),"")</f>
        <v/>
      </c>
      <c r="H511" s="5" t="str">
        <f>IFERROR(__xludf.DUMMYFUNCTION("IF(U511&lt;&gt;"""", GOOGLETRANSLATE(U511, ""RO"", ""EN""), """")"),"")</f>
        <v/>
      </c>
      <c r="I511" s="5" t="str">
        <f>IFERROR(__xludf.DUMMYFUNCTION("IF(V511&lt;&gt;"""", GOOGLETRANSLATE(V511, ""RO"", ""EN""), """")"),"")</f>
        <v/>
      </c>
      <c r="J511" s="5" t="str">
        <f>IFERROR(__xludf.DUMMYFUNCTION("IF(W511&lt;&gt;"""", GOOGLETRANSLATE(W511, ""RO"", ""EN""), """")"),"")</f>
        <v/>
      </c>
      <c r="K511" s="5" t="str">
        <f>IFERROR(__xludf.DUMMYFUNCTION("IF(X511&lt;&gt;"""", GOOGLETRANSLATE(X511, ""RO"", ""EN""), """")"),"")</f>
        <v/>
      </c>
      <c r="L511" s="5" t="str">
        <f>IFERROR(__xludf.DUMMYFUNCTION("IF(S511&lt;&gt;"""", GOOGLETRANSLATE(S511, ""RO"", ""EN""), """")"),"Ns")</f>
        <v>Ns</v>
      </c>
      <c r="M511" s="5" t="str">
        <f>IFERROR(__xludf.DUMMYFUNCTION("IF(T511&lt;&gt;"""", GOOGLETRANSLATE(T511, ""RO"", ""EN""), """")"),"No.")</f>
        <v>No.</v>
      </c>
      <c r="N511" s="5" t="str">
        <f>IFERROR(__xludf.DUMMYFUNCTION("IF(Y511&lt;&gt;"""", GOOGLETRANSLATE(Y511, ""RO"", ""EN""), """")"),"")</f>
        <v/>
      </c>
      <c r="P511" s="4" t="s">
        <v>639</v>
      </c>
      <c r="Q511" s="4" t="s">
        <v>640</v>
      </c>
      <c r="S511" s="4" t="s">
        <v>103</v>
      </c>
      <c r="T511" s="4" t="s">
        <v>104</v>
      </c>
    </row>
    <row r="512" ht="15.75" customHeight="1">
      <c r="A512" s="4" t="s">
        <v>1507</v>
      </c>
      <c r="B512" s="4" t="s">
        <v>1508</v>
      </c>
      <c r="C512" s="4" t="str">
        <f>IFERROR(__xludf.DUMMYFUNCTION("GOOGLETRANSLATE(B512, ""RO"", ""EN"")"),"Face to face, at your home.")</f>
        <v>Face to face, at your home.</v>
      </c>
      <c r="D512" s="5" t="str">
        <f>IFERROR(__xludf.DUMMYFUNCTION("IF(O512&lt;&gt;"""", GOOGLETRANSLATE(O512, ""RO"", ""EN""), """")"),"")</f>
        <v/>
      </c>
      <c r="E512" s="6" t="str">
        <f>IFERROR(__xludf.DUMMYFUNCTION("IF(P512&lt;&gt;"""", GOOGLETRANSLATE(P512, ""RO"", ""EN""), """")"),"Yes")</f>
        <v>Yes</v>
      </c>
      <c r="F512" s="5" t="str">
        <f>IFERROR(__xludf.DUMMYFUNCTION("IF(Q512&lt;&gt;"""", GOOGLETRANSLATE(Q512, ""RO"", ""EN""), """")"),"Not")</f>
        <v>Not</v>
      </c>
      <c r="G512" s="5" t="str">
        <f>IFERROR(__xludf.DUMMYFUNCTION("IF(R512&lt;&gt;"""", GOOGLETRANSLATE(R512, ""RO"", ""EN""), """")"),"")</f>
        <v/>
      </c>
      <c r="H512" s="5" t="str">
        <f>IFERROR(__xludf.DUMMYFUNCTION("IF(U512&lt;&gt;"""", GOOGLETRANSLATE(U512, ""RO"", ""EN""), """")"),"")</f>
        <v/>
      </c>
      <c r="I512" s="5" t="str">
        <f>IFERROR(__xludf.DUMMYFUNCTION("IF(V512&lt;&gt;"""", GOOGLETRANSLATE(V512, ""RO"", ""EN""), """")"),"")</f>
        <v/>
      </c>
      <c r="J512" s="5" t="str">
        <f>IFERROR(__xludf.DUMMYFUNCTION("IF(W512&lt;&gt;"""", GOOGLETRANSLATE(W512, ""RO"", ""EN""), """")"),"")</f>
        <v/>
      </c>
      <c r="K512" s="5" t="str">
        <f>IFERROR(__xludf.DUMMYFUNCTION("IF(X512&lt;&gt;"""", GOOGLETRANSLATE(X512, ""RO"", ""EN""), """")"),"")</f>
        <v/>
      </c>
      <c r="L512" s="5" t="str">
        <f>IFERROR(__xludf.DUMMYFUNCTION("IF(S512&lt;&gt;"""", GOOGLETRANSLATE(S512, ""RO"", ""EN""), """")"),"Ns")</f>
        <v>Ns</v>
      </c>
      <c r="M512" s="5" t="str">
        <f>IFERROR(__xludf.DUMMYFUNCTION("IF(T512&lt;&gt;"""", GOOGLETRANSLATE(T512, ""RO"", ""EN""), """")"),"No.")</f>
        <v>No.</v>
      </c>
      <c r="N512" s="5" t="str">
        <f>IFERROR(__xludf.DUMMYFUNCTION("IF(Y512&lt;&gt;"""", GOOGLETRANSLATE(Y512, ""RO"", ""EN""), """")"),"")</f>
        <v/>
      </c>
      <c r="P512" s="4" t="s">
        <v>639</v>
      </c>
      <c r="Q512" s="4" t="s">
        <v>640</v>
      </c>
      <c r="S512" s="4" t="s">
        <v>103</v>
      </c>
      <c r="T512" s="4" t="s">
        <v>104</v>
      </c>
    </row>
    <row r="513" ht="15.75" customHeight="1">
      <c r="A513" s="4" t="s">
        <v>1509</v>
      </c>
      <c r="B513" s="4" t="s">
        <v>1510</v>
      </c>
      <c r="C513" s="4" t="str">
        <f>IFERROR(__xludf.DUMMYFUNCTION("GOOGLETRANSLATE(B513, ""RO"", ""EN"")"),"By phone, called you or sent you messages (SMS)")</f>
        <v>By phone, called you or sent you messages (SMS)</v>
      </c>
      <c r="D513" s="5" t="str">
        <f>IFERROR(__xludf.DUMMYFUNCTION("IF(O513&lt;&gt;"""", GOOGLETRANSLATE(O513, ""RO"", ""EN""), """")"),"")</f>
        <v/>
      </c>
      <c r="E513" s="6" t="str">
        <f>IFERROR(__xludf.DUMMYFUNCTION("IF(P513&lt;&gt;"""", GOOGLETRANSLATE(P513, ""RO"", ""EN""), """")"),"Yes")</f>
        <v>Yes</v>
      </c>
      <c r="F513" s="5" t="str">
        <f>IFERROR(__xludf.DUMMYFUNCTION("IF(Q513&lt;&gt;"""", GOOGLETRANSLATE(Q513, ""RO"", ""EN""), """")"),"Not")</f>
        <v>Not</v>
      </c>
      <c r="G513" s="5" t="str">
        <f>IFERROR(__xludf.DUMMYFUNCTION("IF(R513&lt;&gt;"""", GOOGLETRANSLATE(R513, ""RO"", ""EN""), """")"),"")</f>
        <v/>
      </c>
      <c r="H513" s="5" t="str">
        <f>IFERROR(__xludf.DUMMYFUNCTION("IF(U513&lt;&gt;"""", GOOGLETRANSLATE(U513, ""RO"", ""EN""), """")"),"")</f>
        <v/>
      </c>
      <c r="I513" s="5" t="str">
        <f>IFERROR(__xludf.DUMMYFUNCTION("IF(V513&lt;&gt;"""", GOOGLETRANSLATE(V513, ""RO"", ""EN""), """")"),"")</f>
        <v/>
      </c>
      <c r="J513" s="5" t="str">
        <f>IFERROR(__xludf.DUMMYFUNCTION("IF(W513&lt;&gt;"""", GOOGLETRANSLATE(W513, ""RO"", ""EN""), """")"),"")</f>
        <v/>
      </c>
      <c r="K513" s="5" t="str">
        <f>IFERROR(__xludf.DUMMYFUNCTION("IF(X513&lt;&gt;"""", GOOGLETRANSLATE(X513, ""RO"", ""EN""), """")"),"")</f>
        <v/>
      </c>
      <c r="L513" s="5" t="str">
        <f>IFERROR(__xludf.DUMMYFUNCTION("IF(S513&lt;&gt;"""", GOOGLETRANSLATE(S513, ""RO"", ""EN""), """")"),"Ns")</f>
        <v>Ns</v>
      </c>
      <c r="M513" s="5" t="str">
        <f>IFERROR(__xludf.DUMMYFUNCTION("IF(T513&lt;&gt;"""", GOOGLETRANSLATE(T513, ""RO"", ""EN""), """")"),"No.")</f>
        <v>No.</v>
      </c>
      <c r="N513" s="5" t="str">
        <f>IFERROR(__xludf.DUMMYFUNCTION("IF(Y513&lt;&gt;"""", GOOGLETRANSLATE(Y513, ""RO"", ""EN""), """")"),"")</f>
        <v/>
      </c>
      <c r="P513" s="4" t="s">
        <v>639</v>
      </c>
      <c r="Q513" s="4" t="s">
        <v>640</v>
      </c>
      <c r="S513" s="4" t="s">
        <v>103</v>
      </c>
      <c r="T513" s="4" t="s">
        <v>104</v>
      </c>
    </row>
    <row r="514" ht="15.75" customHeight="1">
      <c r="A514" s="4" t="s">
        <v>1511</v>
      </c>
      <c r="B514" s="4" t="s">
        <v>1512</v>
      </c>
      <c r="C514" s="4" t="str">
        <f>IFERROR(__xludf.DUMMYFUNCTION("GOOGLETRANSLATE(B514, ""RO"", ""EN"")"),"E-mail")</f>
        <v>E-mail</v>
      </c>
      <c r="D514" s="5" t="str">
        <f>IFERROR(__xludf.DUMMYFUNCTION("IF(O514&lt;&gt;"""", GOOGLETRANSLATE(O514, ""RO"", ""EN""), """")"),"")</f>
        <v/>
      </c>
      <c r="E514" s="6" t="str">
        <f>IFERROR(__xludf.DUMMYFUNCTION("IF(P514&lt;&gt;"""", GOOGLETRANSLATE(P514, ""RO"", ""EN""), """")"),"Yes")</f>
        <v>Yes</v>
      </c>
      <c r="F514" s="5" t="str">
        <f>IFERROR(__xludf.DUMMYFUNCTION("IF(Q514&lt;&gt;"""", GOOGLETRANSLATE(Q514, ""RO"", ""EN""), """")"),"Not")</f>
        <v>Not</v>
      </c>
      <c r="G514" s="5" t="str">
        <f>IFERROR(__xludf.DUMMYFUNCTION("IF(R514&lt;&gt;"""", GOOGLETRANSLATE(R514, ""RO"", ""EN""), """")"),"")</f>
        <v/>
      </c>
      <c r="H514" s="5" t="str">
        <f>IFERROR(__xludf.DUMMYFUNCTION("IF(U514&lt;&gt;"""", GOOGLETRANSLATE(U514, ""RO"", ""EN""), """")"),"")</f>
        <v/>
      </c>
      <c r="I514" s="5" t="str">
        <f>IFERROR(__xludf.DUMMYFUNCTION("IF(V514&lt;&gt;"""", GOOGLETRANSLATE(V514, ""RO"", ""EN""), """")"),"")</f>
        <v/>
      </c>
      <c r="J514" s="5" t="str">
        <f>IFERROR(__xludf.DUMMYFUNCTION("IF(W514&lt;&gt;"""", GOOGLETRANSLATE(W514, ""RO"", ""EN""), """")"),"")</f>
        <v/>
      </c>
      <c r="K514" s="5" t="str">
        <f>IFERROR(__xludf.DUMMYFUNCTION("IF(X514&lt;&gt;"""", GOOGLETRANSLATE(X514, ""RO"", ""EN""), """")"),"")</f>
        <v/>
      </c>
      <c r="L514" s="5" t="str">
        <f>IFERROR(__xludf.DUMMYFUNCTION("IF(S514&lt;&gt;"""", GOOGLETRANSLATE(S514, ""RO"", ""EN""), """")"),"Ns")</f>
        <v>Ns</v>
      </c>
      <c r="M514" s="5" t="str">
        <f>IFERROR(__xludf.DUMMYFUNCTION("IF(T514&lt;&gt;"""", GOOGLETRANSLATE(T514, ""RO"", ""EN""), """")"),"No.")</f>
        <v>No.</v>
      </c>
      <c r="N514" s="5" t="str">
        <f>IFERROR(__xludf.DUMMYFUNCTION("IF(Y514&lt;&gt;"""", GOOGLETRANSLATE(Y514, ""RO"", ""EN""), """")"),"")</f>
        <v/>
      </c>
      <c r="P514" s="4" t="s">
        <v>639</v>
      </c>
      <c r="Q514" s="4" t="s">
        <v>640</v>
      </c>
      <c r="S514" s="4" t="s">
        <v>103</v>
      </c>
      <c r="T514" s="4" t="s">
        <v>104</v>
      </c>
    </row>
    <row r="515" ht="15.75" customHeight="1">
      <c r="A515" s="4" t="s">
        <v>1513</v>
      </c>
      <c r="B515" s="4" t="s">
        <v>1514</v>
      </c>
      <c r="C515" s="4" t="str">
        <f>IFERROR(__xludf.DUMMYFUNCTION("GOOGLETRANSLATE(B515, ""RO"", ""EN"")"),"Social sites (MySpace, Facebook, Hi5, Twitter, etc.)")</f>
        <v>Social sites (MySpace, Facebook, Hi5, Twitter, etc.)</v>
      </c>
      <c r="D515" s="5" t="str">
        <f>IFERROR(__xludf.DUMMYFUNCTION("IF(O515&lt;&gt;"""", GOOGLETRANSLATE(O515, ""RO"", ""EN""), """")"),"")</f>
        <v/>
      </c>
      <c r="E515" s="6" t="str">
        <f>IFERROR(__xludf.DUMMYFUNCTION("IF(P515&lt;&gt;"""", GOOGLETRANSLATE(P515, ""RO"", ""EN""), """")"),"Yes")</f>
        <v>Yes</v>
      </c>
      <c r="F515" s="5" t="str">
        <f>IFERROR(__xludf.DUMMYFUNCTION("IF(Q515&lt;&gt;"""", GOOGLETRANSLATE(Q515, ""RO"", ""EN""), """")"),"Not")</f>
        <v>Not</v>
      </c>
      <c r="G515" s="5" t="str">
        <f>IFERROR(__xludf.DUMMYFUNCTION("IF(R515&lt;&gt;"""", GOOGLETRANSLATE(R515, ""RO"", ""EN""), """")"),"")</f>
        <v/>
      </c>
      <c r="H515" s="5" t="str">
        <f>IFERROR(__xludf.DUMMYFUNCTION("IF(U515&lt;&gt;"""", GOOGLETRANSLATE(U515, ""RO"", ""EN""), """")"),"")</f>
        <v/>
      </c>
      <c r="I515" s="5" t="str">
        <f>IFERROR(__xludf.DUMMYFUNCTION("IF(V515&lt;&gt;"""", GOOGLETRANSLATE(V515, ""RO"", ""EN""), """")"),"")</f>
        <v/>
      </c>
      <c r="J515" s="5" t="str">
        <f>IFERROR(__xludf.DUMMYFUNCTION("IF(W515&lt;&gt;"""", GOOGLETRANSLATE(W515, ""RO"", ""EN""), """")"),"")</f>
        <v/>
      </c>
      <c r="K515" s="5" t="str">
        <f>IFERROR(__xludf.DUMMYFUNCTION("IF(X515&lt;&gt;"""", GOOGLETRANSLATE(X515, ""RO"", ""EN""), """")"),"")</f>
        <v/>
      </c>
      <c r="L515" s="5" t="str">
        <f>IFERROR(__xludf.DUMMYFUNCTION("IF(S515&lt;&gt;"""", GOOGLETRANSLATE(S515, ""RO"", ""EN""), """")"),"Ns")</f>
        <v>Ns</v>
      </c>
      <c r="M515" s="5" t="str">
        <f>IFERROR(__xludf.DUMMYFUNCTION("IF(T515&lt;&gt;"""", GOOGLETRANSLATE(T515, ""RO"", ""EN""), """")"),"No.")</f>
        <v>No.</v>
      </c>
      <c r="N515" s="5" t="str">
        <f>IFERROR(__xludf.DUMMYFUNCTION("IF(Y515&lt;&gt;"""", GOOGLETRANSLATE(Y515, ""RO"", ""EN""), """")"),"")</f>
        <v/>
      </c>
      <c r="P515" s="4" t="s">
        <v>639</v>
      </c>
      <c r="Q515" s="4" t="s">
        <v>640</v>
      </c>
      <c r="S515" s="4" t="s">
        <v>103</v>
      </c>
      <c r="T515" s="4" t="s">
        <v>104</v>
      </c>
    </row>
    <row r="516" ht="15.75" customHeight="1">
      <c r="A516" s="4" t="s">
        <v>1515</v>
      </c>
      <c r="B516" s="4" t="s">
        <v>1516</v>
      </c>
      <c r="C516" s="4" t="str">
        <f>IFERROR(__xludf.DUMMYFUNCTION("GOOGLETRANSLATE(B516, ""RO"", ""EN"")"),"In this campaign have you been contacted by someone from a party, candidate or political organizations to convince you to vote?")</f>
        <v>In this campaign have you been contacted by someone from a party, candidate or political organizations to convince you to vote?</v>
      </c>
      <c r="D516" s="5" t="str">
        <f>IFERROR(__xludf.DUMMYFUNCTION("IF(O516&lt;&gt;"""", GOOGLETRANSLATE(O516, ""RO"", ""EN""), """")"),"")</f>
        <v/>
      </c>
      <c r="E516" s="6" t="str">
        <f>IFERROR(__xludf.DUMMYFUNCTION("IF(P516&lt;&gt;"""", GOOGLETRANSLATE(P516, ""RO"", ""EN""), """")"),"Yes")</f>
        <v>Yes</v>
      </c>
      <c r="F516" s="5" t="str">
        <f>IFERROR(__xludf.DUMMYFUNCTION("IF(Q516&lt;&gt;"""", GOOGLETRANSLATE(Q516, ""RO"", ""EN""), """")"),"Not")</f>
        <v>Not</v>
      </c>
      <c r="G516" s="5" t="str">
        <f>IFERROR(__xludf.DUMMYFUNCTION("IF(R516&lt;&gt;"""", GOOGLETRANSLATE(R516, ""RO"", ""EN""), """")"),"")</f>
        <v/>
      </c>
      <c r="H516" s="5" t="str">
        <f>IFERROR(__xludf.DUMMYFUNCTION("IF(U516&lt;&gt;"""", GOOGLETRANSLATE(U516, ""RO"", ""EN""), """")"),"")</f>
        <v/>
      </c>
      <c r="I516" s="5" t="str">
        <f>IFERROR(__xludf.DUMMYFUNCTION("IF(V516&lt;&gt;"""", GOOGLETRANSLATE(V516, ""RO"", ""EN""), """")"),"")</f>
        <v/>
      </c>
      <c r="J516" s="5" t="str">
        <f>IFERROR(__xludf.DUMMYFUNCTION("IF(W516&lt;&gt;"""", GOOGLETRANSLATE(W516, ""RO"", ""EN""), """")"),"")</f>
        <v/>
      </c>
      <c r="K516" s="5" t="str">
        <f>IFERROR(__xludf.DUMMYFUNCTION("IF(X516&lt;&gt;"""", GOOGLETRANSLATE(X516, ""RO"", ""EN""), """")"),"")</f>
        <v/>
      </c>
      <c r="L516" s="5" t="str">
        <f>IFERROR(__xludf.DUMMYFUNCTION("IF(S516&lt;&gt;"""", GOOGLETRANSLATE(S516, ""RO"", ""EN""), """")"),"")</f>
        <v/>
      </c>
      <c r="M516" s="5" t="str">
        <f>IFERROR(__xludf.DUMMYFUNCTION("IF(T516&lt;&gt;"""", GOOGLETRANSLATE(T516, ""RO"", ""EN""), """")"),"No.")</f>
        <v>No.</v>
      </c>
      <c r="N516" s="5" t="str">
        <f>IFERROR(__xludf.DUMMYFUNCTION("IF(Y516&lt;&gt;"""", GOOGLETRANSLATE(Y516, ""RO"", ""EN""), """")"),"")</f>
        <v/>
      </c>
      <c r="P516" s="4" t="s">
        <v>639</v>
      </c>
      <c r="Q516" s="4" t="s">
        <v>640</v>
      </c>
      <c r="T516" s="4" t="s">
        <v>104</v>
      </c>
    </row>
    <row r="517" ht="15.75" customHeight="1">
      <c r="A517" s="4" t="s">
        <v>1517</v>
      </c>
      <c r="B517" s="4" t="s">
        <v>1518</v>
      </c>
      <c r="C517" s="4" t="str">
        <f>IFERROR(__xludf.DUMMYFUNCTION("GOOGLETRANSLATE(B517, ""RO"", ""EN"")"),"In this campaign someone of the people close to you (family, friends), did you try to convince you to vote?")</f>
        <v>In this campaign someone of the people close to you (family, friends), did you try to convince you to vote?</v>
      </c>
      <c r="D517" s="5" t="str">
        <f>IFERROR(__xludf.DUMMYFUNCTION("IF(O517&lt;&gt;"""", GOOGLETRANSLATE(O517, ""RO"", ""EN""), """")"),"")</f>
        <v/>
      </c>
      <c r="E517" s="6" t="str">
        <f>IFERROR(__xludf.DUMMYFUNCTION("IF(P517&lt;&gt;"""", GOOGLETRANSLATE(P517, ""RO"", ""EN""), """")"),"Yes")</f>
        <v>Yes</v>
      </c>
      <c r="F517" s="5" t="str">
        <f>IFERROR(__xludf.DUMMYFUNCTION("IF(Q517&lt;&gt;"""", GOOGLETRANSLATE(Q517, ""RO"", ""EN""), """")"),"Not")</f>
        <v>Not</v>
      </c>
      <c r="G517" s="5" t="str">
        <f>IFERROR(__xludf.DUMMYFUNCTION("IF(R517&lt;&gt;"""", GOOGLETRANSLATE(R517, ""RO"", ""EN""), """")"),"")</f>
        <v/>
      </c>
      <c r="H517" s="5" t="str">
        <f>IFERROR(__xludf.DUMMYFUNCTION("IF(U517&lt;&gt;"""", GOOGLETRANSLATE(U517, ""RO"", ""EN""), """")"),"")</f>
        <v/>
      </c>
      <c r="I517" s="5" t="str">
        <f>IFERROR(__xludf.DUMMYFUNCTION("IF(V517&lt;&gt;"""", GOOGLETRANSLATE(V517, ""RO"", ""EN""), """")"),"")</f>
        <v/>
      </c>
      <c r="J517" s="5" t="str">
        <f>IFERROR(__xludf.DUMMYFUNCTION("IF(W517&lt;&gt;"""", GOOGLETRANSLATE(W517, ""RO"", ""EN""), """")"),"")</f>
        <v/>
      </c>
      <c r="K517" s="5" t="str">
        <f>IFERROR(__xludf.DUMMYFUNCTION("IF(X517&lt;&gt;"""", GOOGLETRANSLATE(X517, ""RO"", ""EN""), """")"),"")</f>
        <v/>
      </c>
      <c r="L517" s="5" t="str">
        <f>IFERROR(__xludf.DUMMYFUNCTION("IF(S517&lt;&gt;"""", GOOGLETRANSLATE(S517, ""RO"", ""EN""), """")"),"")</f>
        <v/>
      </c>
      <c r="M517" s="5" t="str">
        <f>IFERROR(__xludf.DUMMYFUNCTION("IF(T517&lt;&gt;"""", GOOGLETRANSLATE(T517, ""RO"", ""EN""), """")"),"No.")</f>
        <v>No.</v>
      </c>
      <c r="N517" s="5" t="str">
        <f>IFERROR(__xludf.DUMMYFUNCTION("IF(Y517&lt;&gt;"""", GOOGLETRANSLATE(Y517, ""RO"", ""EN""), """")"),"")</f>
        <v/>
      </c>
      <c r="P517" s="4" t="s">
        <v>639</v>
      </c>
      <c r="Q517" s="4" t="s">
        <v>640</v>
      </c>
      <c r="T517" s="4" t="s">
        <v>104</v>
      </c>
    </row>
    <row r="518" ht="15.75" customHeight="1">
      <c r="A518" s="4" t="s">
        <v>1519</v>
      </c>
      <c r="B518" s="4" t="s">
        <v>1520</v>
      </c>
      <c r="C518" s="4" t="str">
        <f>IFERROR(__xludf.DUMMYFUNCTION("GOOGLETRANSLATE(B518, ""RO"", ""EN"")"),"In this campaign someone else (mayor / local councilor, priest, teacher, teacher, journalist) tried to convince you to vote?")</f>
        <v>In this campaign someone else (mayor / local councilor, priest, teacher, teacher, journalist) tried to convince you to vote?</v>
      </c>
      <c r="D518" s="5" t="str">
        <f>IFERROR(__xludf.DUMMYFUNCTION("IF(O518&lt;&gt;"""", GOOGLETRANSLATE(O518, ""RO"", ""EN""), """")"),"")</f>
        <v/>
      </c>
      <c r="E518" s="6" t="str">
        <f>IFERROR(__xludf.DUMMYFUNCTION("IF(P518&lt;&gt;"""", GOOGLETRANSLATE(P518, ""RO"", ""EN""), """")"),"Yes")</f>
        <v>Yes</v>
      </c>
      <c r="F518" s="5" t="str">
        <f>IFERROR(__xludf.DUMMYFUNCTION("IF(Q518&lt;&gt;"""", GOOGLETRANSLATE(Q518, ""RO"", ""EN""), """")"),"Not")</f>
        <v>Not</v>
      </c>
      <c r="G518" s="5" t="str">
        <f>IFERROR(__xludf.DUMMYFUNCTION("IF(R518&lt;&gt;"""", GOOGLETRANSLATE(R518, ""RO"", ""EN""), """")"),"")</f>
        <v/>
      </c>
      <c r="H518" s="5" t="str">
        <f>IFERROR(__xludf.DUMMYFUNCTION("IF(U518&lt;&gt;"""", GOOGLETRANSLATE(U518, ""RO"", ""EN""), """")"),"")</f>
        <v/>
      </c>
      <c r="I518" s="5" t="str">
        <f>IFERROR(__xludf.DUMMYFUNCTION("IF(V518&lt;&gt;"""", GOOGLETRANSLATE(V518, ""RO"", ""EN""), """")"),"")</f>
        <v/>
      </c>
      <c r="J518" s="5" t="str">
        <f>IFERROR(__xludf.DUMMYFUNCTION("IF(W518&lt;&gt;"""", GOOGLETRANSLATE(W518, ""RO"", ""EN""), """")"),"")</f>
        <v/>
      </c>
      <c r="K518" s="5" t="str">
        <f>IFERROR(__xludf.DUMMYFUNCTION("IF(X518&lt;&gt;"""", GOOGLETRANSLATE(X518, ""RO"", ""EN""), """")"),"")</f>
        <v/>
      </c>
      <c r="L518" s="5" t="str">
        <f>IFERROR(__xludf.DUMMYFUNCTION("IF(S518&lt;&gt;"""", GOOGLETRANSLATE(S518, ""RO"", ""EN""), """")"),"")</f>
        <v/>
      </c>
      <c r="M518" s="5" t="str">
        <f>IFERROR(__xludf.DUMMYFUNCTION("IF(T518&lt;&gt;"""", GOOGLETRANSLATE(T518, ""RO"", ""EN""), """")"),"No.")</f>
        <v>No.</v>
      </c>
      <c r="N518" s="5" t="str">
        <f>IFERROR(__xludf.DUMMYFUNCTION("IF(Y518&lt;&gt;"""", GOOGLETRANSLATE(Y518, ""RO"", ""EN""), """")"),"")</f>
        <v/>
      </c>
      <c r="P518" s="4" t="s">
        <v>639</v>
      </c>
      <c r="Q518" s="4" t="s">
        <v>640</v>
      </c>
      <c r="T518" s="4" t="s">
        <v>104</v>
      </c>
    </row>
    <row r="519" ht="15.75" customHeight="1">
      <c r="A519" s="4" t="s">
        <v>1521</v>
      </c>
      <c r="B519" s="4" t="s">
        <v>1522</v>
      </c>
      <c r="C519" s="4" t="str">
        <f>IFERROR(__xludf.DUMMYFUNCTION("GOOGLETRANSLATE(B519, ""RO"", ""EN"")"),"... to participate in a public assembly or rally related to elections")</f>
        <v>... to participate in a public assembly or rally related to elections</v>
      </c>
      <c r="D519" s="5" t="str">
        <f>IFERROR(__xludf.DUMMYFUNCTION("IF(O519&lt;&gt;"""", GOOGLETRANSLATE(O519, ""RO"", ""EN""), """")"),"")</f>
        <v/>
      </c>
      <c r="E519" s="6" t="str">
        <f>IFERROR(__xludf.DUMMYFUNCTION("IF(P519&lt;&gt;"""", GOOGLETRANSLATE(P519, ""RO"", ""EN""), """")"),"Yes")</f>
        <v>Yes</v>
      </c>
      <c r="F519" s="5" t="str">
        <f>IFERROR(__xludf.DUMMYFUNCTION("IF(Q519&lt;&gt;"""", GOOGLETRANSLATE(Q519, ""RO"", ""EN""), """")"),"Not")</f>
        <v>Not</v>
      </c>
      <c r="G519" s="5" t="str">
        <f>IFERROR(__xludf.DUMMYFUNCTION("IF(R519&lt;&gt;"""", GOOGLETRANSLATE(R519, ""RO"", ""EN""), """")"),"")</f>
        <v/>
      </c>
      <c r="H519" s="5" t="str">
        <f>IFERROR(__xludf.DUMMYFUNCTION("IF(U519&lt;&gt;"""", GOOGLETRANSLATE(U519, ""RO"", ""EN""), """")"),"")</f>
        <v/>
      </c>
      <c r="I519" s="5" t="str">
        <f>IFERROR(__xludf.DUMMYFUNCTION("IF(V519&lt;&gt;"""", GOOGLETRANSLATE(V519, ""RO"", ""EN""), """")"),"")</f>
        <v/>
      </c>
      <c r="J519" s="5" t="str">
        <f>IFERROR(__xludf.DUMMYFUNCTION("IF(W519&lt;&gt;"""", GOOGLETRANSLATE(W519, ""RO"", ""EN""), """")"),"")</f>
        <v/>
      </c>
      <c r="K519" s="5" t="str">
        <f>IFERROR(__xludf.DUMMYFUNCTION("IF(X519&lt;&gt;"""", GOOGLETRANSLATE(X519, ""RO"", ""EN""), """")"),"")</f>
        <v/>
      </c>
      <c r="L519" s="5" t="str">
        <f>IFERROR(__xludf.DUMMYFUNCTION("IF(S519&lt;&gt;"""", GOOGLETRANSLATE(S519, ""RO"", ""EN""), """")"),"")</f>
        <v/>
      </c>
      <c r="M519" s="5" t="str">
        <f>IFERROR(__xludf.DUMMYFUNCTION("IF(T519&lt;&gt;"""", GOOGLETRANSLATE(T519, ""RO"", ""EN""), """")"),"No.")</f>
        <v>No.</v>
      </c>
      <c r="N519" s="5" t="str">
        <f>IFERROR(__xludf.DUMMYFUNCTION("IF(Y519&lt;&gt;"""", GOOGLETRANSLATE(Y519, ""RO"", ""EN""), """")"),"")</f>
        <v/>
      </c>
      <c r="P519" s="4" t="s">
        <v>639</v>
      </c>
      <c r="Q519" s="4" t="s">
        <v>640</v>
      </c>
      <c r="T519" s="4" t="s">
        <v>104</v>
      </c>
    </row>
    <row r="520" ht="15.75" customHeight="1">
      <c r="A520" s="4" t="s">
        <v>1523</v>
      </c>
      <c r="B520" s="4" t="s">
        <v>1522</v>
      </c>
      <c r="C520" s="4" t="str">
        <f>IFERROR(__xludf.DUMMYFUNCTION("GOOGLETRANSLATE(B520, ""RO"", ""EN"")"),"... to participate in a public assembly or rally related to elections")</f>
        <v>... to participate in a public assembly or rally related to elections</v>
      </c>
      <c r="D520" s="5" t="str">
        <f>IFERROR(__xludf.DUMMYFUNCTION("IF(O520&lt;&gt;"""", GOOGLETRANSLATE(O520, ""RO"", ""EN""), """")"),"")</f>
        <v/>
      </c>
      <c r="E520" s="6" t="str">
        <f>IFERROR(__xludf.DUMMYFUNCTION("IF(P520&lt;&gt;"""", GOOGLETRANSLATE(P520, ""RO"", ""EN""), """")"),"Yes")</f>
        <v>Yes</v>
      </c>
      <c r="F520" s="5" t="str">
        <f>IFERROR(__xludf.DUMMYFUNCTION("IF(Q520&lt;&gt;"""", GOOGLETRANSLATE(Q520, ""RO"", ""EN""), """")"),"Not")</f>
        <v>Not</v>
      </c>
      <c r="G520" s="5" t="str">
        <f>IFERROR(__xludf.DUMMYFUNCTION("IF(R520&lt;&gt;"""", GOOGLETRANSLATE(R520, ""RO"", ""EN""), """")"),"")</f>
        <v/>
      </c>
      <c r="H520" s="5" t="str">
        <f>IFERROR(__xludf.DUMMYFUNCTION("IF(U520&lt;&gt;"""", GOOGLETRANSLATE(U520, ""RO"", ""EN""), """")"),"")</f>
        <v/>
      </c>
      <c r="I520" s="5" t="str">
        <f>IFERROR(__xludf.DUMMYFUNCTION("IF(V520&lt;&gt;"""", GOOGLETRANSLATE(V520, ""RO"", ""EN""), """")"),"")</f>
        <v/>
      </c>
      <c r="J520" s="5" t="str">
        <f>IFERROR(__xludf.DUMMYFUNCTION("IF(W520&lt;&gt;"""", GOOGLETRANSLATE(W520, ""RO"", ""EN""), """")"),"")</f>
        <v/>
      </c>
      <c r="K520" s="5" t="str">
        <f>IFERROR(__xludf.DUMMYFUNCTION("IF(X520&lt;&gt;"""", GOOGLETRANSLATE(X520, ""RO"", ""EN""), """")"),"")</f>
        <v/>
      </c>
      <c r="L520" s="5" t="str">
        <f>IFERROR(__xludf.DUMMYFUNCTION("IF(S520&lt;&gt;"""", GOOGLETRANSLATE(S520, ""RO"", ""EN""), """")"),"")</f>
        <v/>
      </c>
      <c r="M520" s="5" t="str">
        <f>IFERROR(__xludf.DUMMYFUNCTION("IF(T520&lt;&gt;"""", GOOGLETRANSLATE(T520, ""RO"", ""EN""), """")"),"No.")</f>
        <v>No.</v>
      </c>
      <c r="N520" s="5" t="str">
        <f>IFERROR(__xludf.DUMMYFUNCTION("IF(Y520&lt;&gt;"""", GOOGLETRANSLATE(Y520, ""RO"", ""EN""), """")"),"")</f>
        <v/>
      </c>
      <c r="P520" s="4" t="s">
        <v>639</v>
      </c>
      <c r="Q520" s="4" t="s">
        <v>640</v>
      </c>
      <c r="T520" s="4" t="s">
        <v>104</v>
      </c>
    </row>
    <row r="521" ht="15.75" customHeight="1">
      <c r="A521" s="4" t="s">
        <v>1524</v>
      </c>
      <c r="B521" s="4" t="s">
        <v>1522</v>
      </c>
      <c r="C521" s="4" t="str">
        <f>IFERROR(__xludf.DUMMYFUNCTION("GOOGLETRANSLATE(B521, ""RO"", ""EN"")"),"... to participate in a public assembly or rally related to elections")</f>
        <v>... to participate in a public assembly or rally related to elections</v>
      </c>
      <c r="D521" s="5" t="str">
        <f>IFERROR(__xludf.DUMMYFUNCTION("IF(O521&lt;&gt;"""", GOOGLETRANSLATE(O521, ""RO"", ""EN""), """")"),"")</f>
        <v/>
      </c>
      <c r="E521" s="6" t="str">
        <f>IFERROR(__xludf.DUMMYFUNCTION("IF(P521&lt;&gt;"""", GOOGLETRANSLATE(P521, ""RO"", ""EN""), """")"),"Yes")</f>
        <v>Yes</v>
      </c>
      <c r="F521" s="5" t="str">
        <f>IFERROR(__xludf.DUMMYFUNCTION("IF(Q521&lt;&gt;"""", GOOGLETRANSLATE(Q521, ""RO"", ""EN""), """")"),"Not")</f>
        <v>Not</v>
      </c>
      <c r="G521" s="5" t="str">
        <f>IFERROR(__xludf.DUMMYFUNCTION("IF(R521&lt;&gt;"""", GOOGLETRANSLATE(R521, ""RO"", ""EN""), """")"),"")</f>
        <v/>
      </c>
      <c r="H521" s="5" t="str">
        <f>IFERROR(__xludf.DUMMYFUNCTION("IF(U521&lt;&gt;"""", GOOGLETRANSLATE(U521, ""RO"", ""EN""), """")"),"")</f>
        <v/>
      </c>
      <c r="I521" s="5" t="str">
        <f>IFERROR(__xludf.DUMMYFUNCTION("IF(V521&lt;&gt;"""", GOOGLETRANSLATE(V521, ""RO"", ""EN""), """")"),"")</f>
        <v/>
      </c>
      <c r="J521" s="5" t="str">
        <f>IFERROR(__xludf.DUMMYFUNCTION("IF(W521&lt;&gt;"""", GOOGLETRANSLATE(W521, ""RO"", ""EN""), """")"),"")</f>
        <v/>
      </c>
      <c r="K521" s="5" t="str">
        <f>IFERROR(__xludf.DUMMYFUNCTION("IF(X521&lt;&gt;"""", GOOGLETRANSLATE(X521, ""RO"", ""EN""), """")"),"")</f>
        <v/>
      </c>
      <c r="L521" s="5" t="str">
        <f>IFERROR(__xludf.DUMMYFUNCTION("IF(S521&lt;&gt;"""", GOOGLETRANSLATE(S521, ""RO"", ""EN""), """")"),"")</f>
        <v/>
      </c>
      <c r="M521" s="5" t="str">
        <f>IFERROR(__xludf.DUMMYFUNCTION("IF(T521&lt;&gt;"""", GOOGLETRANSLATE(T521, ""RO"", ""EN""), """")"),"No.")</f>
        <v>No.</v>
      </c>
      <c r="N521" s="5" t="str">
        <f>IFERROR(__xludf.DUMMYFUNCTION("IF(Y521&lt;&gt;"""", GOOGLETRANSLATE(Y521, ""RO"", ""EN""), """")"),"")</f>
        <v/>
      </c>
      <c r="P521" s="4" t="s">
        <v>639</v>
      </c>
      <c r="Q521" s="4" t="s">
        <v>640</v>
      </c>
      <c r="T521" s="4" t="s">
        <v>104</v>
      </c>
    </row>
    <row r="522" ht="15.75" customHeight="1">
      <c r="A522" s="4" t="s">
        <v>1525</v>
      </c>
      <c r="B522" s="4" t="s">
        <v>1526</v>
      </c>
      <c r="C522" s="4" t="str">
        <f>IFERROR(__xludf.DUMMYFUNCTION("GOOGLETRANSLATE(B522, ""RO"", ""EN"")"),"... to work voluntarily in favor of a candidate")</f>
        <v>... to work voluntarily in favor of a candidate</v>
      </c>
      <c r="D522" s="5" t="str">
        <f>IFERROR(__xludf.DUMMYFUNCTION("IF(O522&lt;&gt;"""", GOOGLETRANSLATE(O522, ""RO"", ""EN""), """")"),"")</f>
        <v/>
      </c>
      <c r="E522" s="6" t="str">
        <f>IFERROR(__xludf.DUMMYFUNCTION("IF(P522&lt;&gt;"""", GOOGLETRANSLATE(P522, ""RO"", ""EN""), """")"),"Yes")</f>
        <v>Yes</v>
      </c>
      <c r="F522" s="5" t="str">
        <f>IFERROR(__xludf.DUMMYFUNCTION("IF(Q522&lt;&gt;"""", GOOGLETRANSLATE(Q522, ""RO"", ""EN""), """")"),"Not")</f>
        <v>Not</v>
      </c>
      <c r="G522" s="5" t="str">
        <f>IFERROR(__xludf.DUMMYFUNCTION("IF(R522&lt;&gt;"""", GOOGLETRANSLATE(R522, ""RO"", ""EN""), """")"),"")</f>
        <v/>
      </c>
      <c r="H522" s="5" t="str">
        <f>IFERROR(__xludf.DUMMYFUNCTION("IF(U522&lt;&gt;"""", GOOGLETRANSLATE(U522, ""RO"", ""EN""), """")"),"")</f>
        <v/>
      </c>
      <c r="I522" s="5" t="str">
        <f>IFERROR(__xludf.DUMMYFUNCTION("IF(V522&lt;&gt;"""", GOOGLETRANSLATE(V522, ""RO"", ""EN""), """")"),"")</f>
        <v/>
      </c>
      <c r="J522" s="5" t="str">
        <f>IFERROR(__xludf.DUMMYFUNCTION("IF(W522&lt;&gt;"""", GOOGLETRANSLATE(W522, ""RO"", ""EN""), """")"),"")</f>
        <v/>
      </c>
      <c r="K522" s="5" t="str">
        <f>IFERROR(__xludf.DUMMYFUNCTION("IF(X522&lt;&gt;"""", GOOGLETRANSLATE(X522, ""RO"", ""EN""), """")"),"")</f>
        <v/>
      </c>
      <c r="L522" s="5" t="str">
        <f>IFERROR(__xludf.DUMMYFUNCTION("IF(S522&lt;&gt;"""", GOOGLETRANSLATE(S522, ""RO"", ""EN""), """")"),"")</f>
        <v/>
      </c>
      <c r="M522" s="5" t="str">
        <f>IFERROR(__xludf.DUMMYFUNCTION("IF(T522&lt;&gt;"""", GOOGLETRANSLATE(T522, ""RO"", ""EN""), """")"),"No.")</f>
        <v>No.</v>
      </c>
      <c r="N522" s="5" t="str">
        <f>IFERROR(__xludf.DUMMYFUNCTION("IF(Y522&lt;&gt;"""", GOOGLETRANSLATE(Y522, ""RO"", ""EN""), """")"),"")</f>
        <v/>
      </c>
      <c r="P522" s="4" t="s">
        <v>639</v>
      </c>
      <c r="Q522" s="4" t="s">
        <v>640</v>
      </c>
      <c r="T522" s="4" t="s">
        <v>104</v>
      </c>
    </row>
    <row r="523" ht="15.75" customHeight="1">
      <c r="A523" s="4" t="s">
        <v>1527</v>
      </c>
      <c r="B523" s="4" t="s">
        <v>1526</v>
      </c>
      <c r="C523" s="4" t="str">
        <f>IFERROR(__xludf.DUMMYFUNCTION("GOOGLETRANSLATE(B523, ""RO"", ""EN"")"),"... to work voluntarily in favor of a candidate")</f>
        <v>... to work voluntarily in favor of a candidate</v>
      </c>
      <c r="D523" s="5" t="str">
        <f>IFERROR(__xludf.DUMMYFUNCTION("IF(O523&lt;&gt;"""", GOOGLETRANSLATE(O523, ""RO"", ""EN""), """")"),"")</f>
        <v/>
      </c>
      <c r="E523" s="6" t="str">
        <f>IFERROR(__xludf.DUMMYFUNCTION("IF(P523&lt;&gt;"""", GOOGLETRANSLATE(P523, ""RO"", ""EN""), """")"),"Yes")</f>
        <v>Yes</v>
      </c>
      <c r="F523" s="5" t="str">
        <f>IFERROR(__xludf.DUMMYFUNCTION("IF(Q523&lt;&gt;"""", GOOGLETRANSLATE(Q523, ""RO"", ""EN""), """")"),"Not")</f>
        <v>Not</v>
      </c>
      <c r="G523" s="5" t="str">
        <f>IFERROR(__xludf.DUMMYFUNCTION("IF(R523&lt;&gt;"""", GOOGLETRANSLATE(R523, ""RO"", ""EN""), """")"),"")</f>
        <v/>
      </c>
      <c r="H523" s="5" t="str">
        <f>IFERROR(__xludf.DUMMYFUNCTION("IF(U523&lt;&gt;"""", GOOGLETRANSLATE(U523, ""RO"", ""EN""), """")"),"")</f>
        <v/>
      </c>
      <c r="I523" s="5" t="str">
        <f>IFERROR(__xludf.DUMMYFUNCTION("IF(V523&lt;&gt;"""", GOOGLETRANSLATE(V523, ""RO"", ""EN""), """")"),"")</f>
        <v/>
      </c>
      <c r="J523" s="5" t="str">
        <f>IFERROR(__xludf.DUMMYFUNCTION("IF(W523&lt;&gt;"""", GOOGLETRANSLATE(W523, ""RO"", ""EN""), """")"),"")</f>
        <v/>
      </c>
      <c r="K523" s="5" t="str">
        <f>IFERROR(__xludf.DUMMYFUNCTION("IF(X523&lt;&gt;"""", GOOGLETRANSLATE(X523, ""RO"", ""EN""), """")"),"")</f>
        <v/>
      </c>
      <c r="L523" s="5" t="str">
        <f>IFERROR(__xludf.DUMMYFUNCTION("IF(S523&lt;&gt;"""", GOOGLETRANSLATE(S523, ""RO"", ""EN""), """")"),"")</f>
        <v/>
      </c>
      <c r="M523" s="5" t="str">
        <f>IFERROR(__xludf.DUMMYFUNCTION("IF(T523&lt;&gt;"""", GOOGLETRANSLATE(T523, ""RO"", ""EN""), """")"),"No.")</f>
        <v>No.</v>
      </c>
      <c r="N523" s="5" t="str">
        <f>IFERROR(__xludf.DUMMYFUNCTION("IF(Y523&lt;&gt;"""", GOOGLETRANSLATE(Y523, ""RO"", ""EN""), """")"),"")</f>
        <v/>
      </c>
      <c r="P523" s="4" t="s">
        <v>639</v>
      </c>
      <c r="Q523" s="4" t="s">
        <v>640</v>
      </c>
      <c r="T523" s="4" t="s">
        <v>104</v>
      </c>
    </row>
    <row r="524" ht="15.75" customHeight="1">
      <c r="A524" s="4" t="s">
        <v>1528</v>
      </c>
      <c r="B524" s="4" t="s">
        <v>1526</v>
      </c>
      <c r="C524" s="4" t="str">
        <f>IFERROR(__xludf.DUMMYFUNCTION("GOOGLETRANSLATE(B524, ""RO"", ""EN"")"),"... to work voluntarily in favor of a candidate")</f>
        <v>... to work voluntarily in favor of a candidate</v>
      </c>
      <c r="D524" s="5" t="str">
        <f>IFERROR(__xludf.DUMMYFUNCTION("IF(O524&lt;&gt;"""", GOOGLETRANSLATE(O524, ""RO"", ""EN""), """")"),"")</f>
        <v/>
      </c>
      <c r="E524" s="6" t="str">
        <f>IFERROR(__xludf.DUMMYFUNCTION("IF(P524&lt;&gt;"""", GOOGLETRANSLATE(P524, ""RO"", ""EN""), """")"),"Yes")</f>
        <v>Yes</v>
      </c>
      <c r="F524" s="5" t="str">
        <f>IFERROR(__xludf.DUMMYFUNCTION("IF(Q524&lt;&gt;"""", GOOGLETRANSLATE(Q524, ""RO"", ""EN""), """")"),"Not")</f>
        <v>Not</v>
      </c>
      <c r="G524" s="5" t="str">
        <f>IFERROR(__xludf.DUMMYFUNCTION("IF(R524&lt;&gt;"""", GOOGLETRANSLATE(R524, ""RO"", ""EN""), """")"),"")</f>
        <v/>
      </c>
      <c r="H524" s="5" t="str">
        <f>IFERROR(__xludf.DUMMYFUNCTION("IF(U524&lt;&gt;"""", GOOGLETRANSLATE(U524, ""RO"", ""EN""), """")"),"")</f>
        <v/>
      </c>
      <c r="I524" s="5" t="str">
        <f>IFERROR(__xludf.DUMMYFUNCTION("IF(V524&lt;&gt;"""", GOOGLETRANSLATE(V524, ""RO"", ""EN""), """")"),"")</f>
        <v/>
      </c>
      <c r="J524" s="5" t="str">
        <f>IFERROR(__xludf.DUMMYFUNCTION("IF(W524&lt;&gt;"""", GOOGLETRANSLATE(W524, ""RO"", ""EN""), """")"),"")</f>
        <v/>
      </c>
      <c r="K524" s="5" t="str">
        <f>IFERROR(__xludf.DUMMYFUNCTION("IF(X524&lt;&gt;"""", GOOGLETRANSLATE(X524, ""RO"", ""EN""), """")"),"")</f>
        <v/>
      </c>
      <c r="L524" s="5" t="str">
        <f>IFERROR(__xludf.DUMMYFUNCTION("IF(S524&lt;&gt;"""", GOOGLETRANSLATE(S524, ""RO"", ""EN""), """")"),"")</f>
        <v/>
      </c>
      <c r="M524" s="5" t="str">
        <f>IFERROR(__xludf.DUMMYFUNCTION("IF(T524&lt;&gt;"""", GOOGLETRANSLATE(T524, ""RO"", ""EN""), """")"),"No.")</f>
        <v>No.</v>
      </c>
      <c r="N524" s="5" t="str">
        <f>IFERROR(__xludf.DUMMYFUNCTION("IF(Y524&lt;&gt;"""", GOOGLETRANSLATE(Y524, ""RO"", ""EN""), """")"),"")</f>
        <v/>
      </c>
      <c r="P524" s="4" t="s">
        <v>639</v>
      </c>
      <c r="Q524" s="4" t="s">
        <v>640</v>
      </c>
      <c r="T524" s="4" t="s">
        <v>104</v>
      </c>
    </row>
    <row r="525" ht="15.75" customHeight="1">
      <c r="A525" s="4" t="s">
        <v>1529</v>
      </c>
      <c r="B525" s="4" t="s">
        <v>1530</v>
      </c>
      <c r="C525" s="4" t="str">
        <f>IFERROR(__xludf.DUMMYFUNCTION("GOOGLETRANSLATE(B525, ""RO"", ""EN"")"),"... to donate money for a candidate")</f>
        <v>... to donate money for a candidate</v>
      </c>
      <c r="D525" s="5" t="str">
        <f>IFERROR(__xludf.DUMMYFUNCTION("IF(O525&lt;&gt;"""", GOOGLETRANSLATE(O525, ""RO"", ""EN""), """")"),"")</f>
        <v/>
      </c>
      <c r="E525" s="6" t="str">
        <f>IFERROR(__xludf.DUMMYFUNCTION("IF(P525&lt;&gt;"""", GOOGLETRANSLATE(P525, ""RO"", ""EN""), """")"),"Yes")</f>
        <v>Yes</v>
      </c>
      <c r="F525" s="5" t="str">
        <f>IFERROR(__xludf.DUMMYFUNCTION("IF(Q525&lt;&gt;"""", GOOGLETRANSLATE(Q525, ""RO"", ""EN""), """")"),"Not")</f>
        <v>Not</v>
      </c>
      <c r="G525" s="5" t="str">
        <f>IFERROR(__xludf.DUMMYFUNCTION("IF(R525&lt;&gt;"""", GOOGLETRANSLATE(R525, ""RO"", ""EN""), """")"),"")</f>
        <v/>
      </c>
      <c r="H525" s="5" t="str">
        <f>IFERROR(__xludf.DUMMYFUNCTION("IF(U525&lt;&gt;"""", GOOGLETRANSLATE(U525, ""RO"", ""EN""), """")"),"")</f>
        <v/>
      </c>
      <c r="I525" s="5" t="str">
        <f>IFERROR(__xludf.DUMMYFUNCTION("IF(V525&lt;&gt;"""", GOOGLETRANSLATE(V525, ""RO"", ""EN""), """")"),"")</f>
        <v/>
      </c>
      <c r="J525" s="5" t="str">
        <f>IFERROR(__xludf.DUMMYFUNCTION("IF(W525&lt;&gt;"""", GOOGLETRANSLATE(W525, ""RO"", ""EN""), """")"),"")</f>
        <v/>
      </c>
      <c r="K525" s="5" t="str">
        <f>IFERROR(__xludf.DUMMYFUNCTION("IF(X525&lt;&gt;"""", GOOGLETRANSLATE(X525, ""RO"", ""EN""), """")"),"")</f>
        <v/>
      </c>
      <c r="L525" s="5" t="str">
        <f>IFERROR(__xludf.DUMMYFUNCTION("IF(S525&lt;&gt;"""", GOOGLETRANSLATE(S525, ""RO"", ""EN""), """")"),"")</f>
        <v/>
      </c>
      <c r="M525" s="5" t="str">
        <f>IFERROR(__xludf.DUMMYFUNCTION("IF(T525&lt;&gt;"""", GOOGLETRANSLATE(T525, ""RO"", ""EN""), """")"),"No.")</f>
        <v>No.</v>
      </c>
      <c r="N525" s="5" t="str">
        <f>IFERROR(__xludf.DUMMYFUNCTION("IF(Y525&lt;&gt;"""", GOOGLETRANSLATE(Y525, ""RO"", ""EN""), """")"),"")</f>
        <v/>
      </c>
      <c r="P525" s="4" t="s">
        <v>639</v>
      </c>
      <c r="Q525" s="4" t="s">
        <v>640</v>
      </c>
      <c r="T525" s="4" t="s">
        <v>104</v>
      </c>
    </row>
    <row r="526" ht="15.75" customHeight="1">
      <c r="A526" s="4" t="s">
        <v>1531</v>
      </c>
      <c r="B526" s="4" t="s">
        <v>1530</v>
      </c>
      <c r="C526" s="4" t="str">
        <f>IFERROR(__xludf.DUMMYFUNCTION("GOOGLETRANSLATE(B526, ""RO"", ""EN"")"),"... to donate money for a candidate")</f>
        <v>... to donate money for a candidate</v>
      </c>
      <c r="D526" s="5" t="str">
        <f>IFERROR(__xludf.DUMMYFUNCTION("IF(O526&lt;&gt;"""", GOOGLETRANSLATE(O526, ""RO"", ""EN""), """")"),"")</f>
        <v/>
      </c>
      <c r="E526" s="6" t="str">
        <f>IFERROR(__xludf.DUMMYFUNCTION("IF(P526&lt;&gt;"""", GOOGLETRANSLATE(P526, ""RO"", ""EN""), """")"),"Yes")</f>
        <v>Yes</v>
      </c>
      <c r="F526" s="5" t="str">
        <f>IFERROR(__xludf.DUMMYFUNCTION("IF(Q526&lt;&gt;"""", GOOGLETRANSLATE(Q526, ""RO"", ""EN""), """")"),"Not")</f>
        <v>Not</v>
      </c>
      <c r="G526" s="5" t="str">
        <f>IFERROR(__xludf.DUMMYFUNCTION("IF(R526&lt;&gt;"""", GOOGLETRANSLATE(R526, ""RO"", ""EN""), """")"),"")</f>
        <v/>
      </c>
      <c r="H526" s="5" t="str">
        <f>IFERROR(__xludf.DUMMYFUNCTION("IF(U526&lt;&gt;"""", GOOGLETRANSLATE(U526, ""RO"", ""EN""), """")"),"")</f>
        <v/>
      </c>
      <c r="I526" s="5" t="str">
        <f>IFERROR(__xludf.DUMMYFUNCTION("IF(V526&lt;&gt;"""", GOOGLETRANSLATE(V526, ""RO"", ""EN""), """")"),"")</f>
        <v/>
      </c>
      <c r="J526" s="5" t="str">
        <f>IFERROR(__xludf.DUMMYFUNCTION("IF(W526&lt;&gt;"""", GOOGLETRANSLATE(W526, ""RO"", ""EN""), """")"),"")</f>
        <v/>
      </c>
      <c r="K526" s="5" t="str">
        <f>IFERROR(__xludf.DUMMYFUNCTION("IF(X526&lt;&gt;"""", GOOGLETRANSLATE(X526, ""RO"", ""EN""), """")"),"")</f>
        <v/>
      </c>
      <c r="L526" s="5" t="str">
        <f>IFERROR(__xludf.DUMMYFUNCTION("IF(S526&lt;&gt;"""", GOOGLETRANSLATE(S526, ""RO"", ""EN""), """")"),"")</f>
        <v/>
      </c>
      <c r="M526" s="5" t="str">
        <f>IFERROR(__xludf.DUMMYFUNCTION("IF(T526&lt;&gt;"""", GOOGLETRANSLATE(T526, ""RO"", ""EN""), """")"),"No.")</f>
        <v>No.</v>
      </c>
      <c r="N526" s="5" t="str">
        <f>IFERROR(__xludf.DUMMYFUNCTION("IF(Y526&lt;&gt;"""", GOOGLETRANSLATE(Y526, ""RO"", ""EN""), """")"),"")</f>
        <v/>
      </c>
      <c r="P526" s="4" t="s">
        <v>639</v>
      </c>
      <c r="Q526" s="4" t="s">
        <v>640</v>
      </c>
      <c r="T526" s="4" t="s">
        <v>104</v>
      </c>
    </row>
    <row r="527" ht="15.75" customHeight="1">
      <c r="A527" s="4" t="s">
        <v>1532</v>
      </c>
      <c r="B527" s="4" t="s">
        <v>1530</v>
      </c>
      <c r="C527" s="4" t="str">
        <f>IFERROR(__xludf.DUMMYFUNCTION("GOOGLETRANSLATE(B527, ""RO"", ""EN"")"),"... to donate money for a candidate")</f>
        <v>... to donate money for a candidate</v>
      </c>
      <c r="D527" s="5" t="str">
        <f>IFERROR(__xludf.DUMMYFUNCTION("IF(O527&lt;&gt;"""", GOOGLETRANSLATE(O527, ""RO"", ""EN""), """")"),"")</f>
        <v/>
      </c>
      <c r="E527" s="6" t="str">
        <f>IFERROR(__xludf.DUMMYFUNCTION("IF(P527&lt;&gt;"""", GOOGLETRANSLATE(P527, ""RO"", ""EN""), """")"),"Yes")</f>
        <v>Yes</v>
      </c>
      <c r="F527" s="5" t="str">
        <f>IFERROR(__xludf.DUMMYFUNCTION("IF(Q527&lt;&gt;"""", GOOGLETRANSLATE(Q527, ""RO"", ""EN""), """")"),"Not")</f>
        <v>Not</v>
      </c>
      <c r="G527" s="5" t="str">
        <f>IFERROR(__xludf.DUMMYFUNCTION("IF(R527&lt;&gt;"""", GOOGLETRANSLATE(R527, ""RO"", ""EN""), """")"),"")</f>
        <v/>
      </c>
      <c r="H527" s="5" t="str">
        <f>IFERROR(__xludf.DUMMYFUNCTION("IF(U527&lt;&gt;"""", GOOGLETRANSLATE(U527, ""RO"", ""EN""), """")"),"")</f>
        <v/>
      </c>
      <c r="I527" s="5" t="str">
        <f>IFERROR(__xludf.DUMMYFUNCTION("IF(V527&lt;&gt;"""", GOOGLETRANSLATE(V527, ""RO"", ""EN""), """")"),"")</f>
        <v/>
      </c>
      <c r="J527" s="5" t="str">
        <f>IFERROR(__xludf.DUMMYFUNCTION("IF(W527&lt;&gt;"""", GOOGLETRANSLATE(W527, ""RO"", ""EN""), """")"),"")</f>
        <v/>
      </c>
      <c r="K527" s="5" t="str">
        <f>IFERROR(__xludf.DUMMYFUNCTION("IF(X527&lt;&gt;"""", GOOGLETRANSLATE(X527, ""RO"", ""EN""), """")"),"")</f>
        <v/>
      </c>
      <c r="L527" s="5" t="str">
        <f>IFERROR(__xludf.DUMMYFUNCTION("IF(S527&lt;&gt;"""", GOOGLETRANSLATE(S527, ""RO"", ""EN""), """")"),"")</f>
        <v/>
      </c>
      <c r="M527" s="5" t="str">
        <f>IFERROR(__xludf.DUMMYFUNCTION("IF(T527&lt;&gt;"""", GOOGLETRANSLATE(T527, ""RO"", ""EN""), """")"),"No.")</f>
        <v>No.</v>
      </c>
      <c r="N527" s="5" t="str">
        <f>IFERROR(__xludf.DUMMYFUNCTION("IF(Y527&lt;&gt;"""", GOOGLETRANSLATE(Y527, ""RO"", ""EN""), """")"),"")</f>
        <v/>
      </c>
      <c r="P527" s="4" t="s">
        <v>639</v>
      </c>
      <c r="Q527" s="4" t="s">
        <v>640</v>
      </c>
      <c r="T527" s="4" t="s">
        <v>104</v>
      </c>
    </row>
    <row r="528" ht="15.75" customHeight="1">
      <c r="A528" s="4" t="s">
        <v>1533</v>
      </c>
      <c r="B528" s="4" t="s">
        <v>1534</v>
      </c>
      <c r="C528" s="4" t="str">
        <f>IFERROR(__xludf.DUMMYFUNCTION("GOOGLETRANSLATE(B528, ""RO"", ""EN"")"),"... to vote with a particular candidate")</f>
        <v>... to vote with a particular candidate</v>
      </c>
      <c r="D528" s="5" t="str">
        <f>IFERROR(__xludf.DUMMYFUNCTION("IF(O528&lt;&gt;"""", GOOGLETRANSLATE(O528, ""RO"", ""EN""), """")"),"")</f>
        <v/>
      </c>
      <c r="E528" s="6" t="str">
        <f>IFERROR(__xludf.DUMMYFUNCTION("IF(P528&lt;&gt;"""", GOOGLETRANSLATE(P528, ""RO"", ""EN""), """")"),"Yes")</f>
        <v>Yes</v>
      </c>
      <c r="F528" s="5" t="str">
        <f>IFERROR(__xludf.DUMMYFUNCTION("IF(Q528&lt;&gt;"""", GOOGLETRANSLATE(Q528, ""RO"", ""EN""), """")"),"Not")</f>
        <v>Not</v>
      </c>
      <c r="G528" s="5" t="str">
        <f>IFERROR(__xludf.DUMMYFUNCTION("IF(R528&lt;&gt;"""", GOOGLETRANSLATE(R528, ""RO"", ""EN""), """")"),"")</f>
        <v/>
      </c>
      <c r="H528" s="5" t="str">
        <f>IFERROR(__xludf.DUMMYFUNCTION("IF(U528&lt;&gt;"""", GOOGLETRANSLATE(U528, ""RO"", ""EN""), """")"),"")</f>
        <v/>
      </c>
      <c r="I528" s="5" t="str">
        <f>IFERROR(__xludf.DUMMYFUNCTION("IF(V528&lt;&gt;"""", GOOGLETRANSLATE(V528, ""RO"", ""EN""), """")"),"")</f>
        <v/>
      </c>
      <c r="J528" s="5" t="str">
        <f>IFERROR(__xludf.DUMMYFUNCTION("IF(W528&lt;&gt;"""", GOOGLETRANSLATE(W528, ""RO"", ""EN""), """")"),"")</f>
        <v/>
      </c>
      <c r="K528" s="5" t="str">
        <f>IFERROR(__xludf.DUMMYFUNCTION("IF(X528&lt;&gt;"""", GOOGLETRANSLATE(X528, ""RO"", ""EN""), """")"),"")</f>
        <v/>
      </c>
      <c r="L528" s="5" t="str">
        <f>IFERROR(__xludf.DUMMYFUNCTION("IF(S528&lt;&gt;"""", GOOGLETRANSLATE(S528, ""RO"", ""EN""), """")"),"")</f>
        <v/>
      </c>
      <c r="M528" s="5" t="str">
        <f>IFERROR(__xludf.DUMMYFUNCTION("IF(T528&lt;&gt;"""", GOOGLETRANSLATE(T528, ""RO"", ""EN""), """")"),"No.")</f>
        <v>No.</v>
      </c>
      <c r="N528" s="5" t="str">
        <f>IFERROR(__xludf.DUMMYFUNCTION("IF(Y528&lt;&gt;"""", GOOGLETRANSLATE(Y528, ""RO"", ""EN""), """")"),"")</f>
        <v/>
      </c>
      <c r="P528" s="4" t="s">
        <v>639</v>
      </c>
      <c r="Q528" s="4" t="s">
        <v>640</v>
      </c>
      <c r="T528" s="4" t="s">
        <v>104</v>
      </c>
    </row>
    <row r="529" ht="15.75" customHeight="1">
      <c r="A529" s="4" t="s">
        <v>1535</v>
      </c>
      <c r="B529" s="4" t="s">
        <v>1534</v>
      </c>
      <c r="C529" s="4" t="str">
        <f>IFERROR(__xludf.DUMMYFUNCTION("GOOGLETRANSLATE(B529, ""RO"", ""EN"")"),"... to vote with a particular candidate")</f>
        <v>... to vote with a particular candidate</v>
      </c>
      <c r="D529" s="5" t="str">
        <f>IFERROR(__xludf.DUMMYFUNCTION("IF(O529&lt;&gt;"""", GOOGLETRANSLATE(O529, ""RO"", ""EN""), """")"),"")</f>
        <v/>
      </c>
      <c r="E529" s="6" t="str">
        <f>IFERROR(__xludf.DUMMYFUNCTION("IF(P529&lt;&gt;"""", GOOGLETRANSLATE(P529, ""RO"", ""EN""), """")"),"Yes")</f>
        <v>Yes</v>
      </c>
      <c r="F529" s="5" t="str">
        <f>IFERROR(__xludf.DUMMYFUNCTION("IF(Q529&lt;&gt;"""", GOOGLETRANSLATE(Q529, ""RO"", ""EN""), """")"),"Not")</f>
        <v>Not</v>
      </c>
      <c r="G529" s="5" t="str">
        <f>IFERROR(__xludf.DUMMYFUNCTION("IF(R529&lt;&gt;"""", GOOGLETRANSLATE(R529, ""RO"", ""EN""), """")"),"")</f>
        <v/>
      </c>
      <c r="H529" s="5" t="str">
        <f>IFERROR(__xludf.DUMMYFUNCTION("IF(U529&lt;&gt;"""", GOOGLETRANSLATE(U529, ""RO"", ""EN""), """")"),"")</f>
        <v/>
      </c>
      <c r="I529" s="5" t="str">
        <f>IFERROR(__xludf.DUMMYFUNCTION("IF(V529&lt;&gt;"""", GOOGLETRANSLATE(V529, ""RO"", ""EN""), """")"),"")</f>
        <v/>
      </c>
      <c r="J529" s="5" t="str">
        <f>IFERROR(__xludf.DUMMYFUNCTION("IF(W529&lt;&gt;"""", GOOGLETRANSLATE(W529, ""RO"", ""EN""), """")"),"")</f>
        <v/>
      </c>
      <c r="K529" s="5" t="str">
        <f>IFERROR(__xludf.DUMMYFUNCTION("IF(X529&lt;&gt;"""", GOOGLETRANSLATE(X529, ""RO"", ""EN""), """")"),"")</f>
        <v/>
      </c>
      <c r="L529" s="5" t="str">
        <f>IFERROR(__xludf.DUMMYFUNCTION("IF(S529&lt;&gt;"""", GOOGLETRANSLATE(S529, ""RO"", ""EN""), """")"),"")</f>
        <v/>
      </c>
      <c r="M529" s="5" t="str">
        <f>IFERROR(__xludf.DUMMYFUNCTION("IF(T529&lt;&gt;"""", GOOGLETRANSLATE(T529, ""RO"", ""EN""), """")"),"No.")</f>
        <v>No.</v>
      </c>
      <c r="N529" s="5" t="str">
        <f>IFERROR(__xludf.DUMMYFUNCTION("IF(Y529&lt;&gt;"""", GOOGLETRANSLATE(Y529, ""RO"", ""EN""), """")"),"")</f>
        <v/>
      </c>
      <c r="P529" s="4" t="s">
        <v>639</v>
      </c>
      <c r="Q529" s="4" t="s">
        <v>640</v>
      </c>
      <c r="T529" s="4" t="s">
        <v>104</v>
      </c>
    </row>
    <row r="530" ht="15.75" customHeight="1">
      <c r="A530" s="4" t="s">
        <v>1536</v>
      </c>
      <c r="B530" s="4" t="s">
        <v>1534</v>
      </c>
      <c r="C530" s="4" t="str">
        <f>IFERROR(__xludf.DUMMYFUNCTION("GOOGLETRANSLATE(B530, ""RO"", ""EN"")"),"... to vote with a particular candidate")</f>
        <v>... to vote with a particular candidate</v>
      </c>
      <c r="D530" s="5" t="str">
        <f>IFERROR(__xludf.DUMMYFUNCTION("IF(O530&lt;&gt;"""", GOOGLETRANSLATE(O530, ""RO"", ""EN""), """")"),"")</f>
        <v/>
      </c>
      <c r="E530" s="6" t="str">
        <f>IFERROR(__xludf.DUMMYFUNCTION("IF(P530&lt;&gt;"""", GOOGLETRANSLATE(P530, ""RO"", ""EN""), """")"),"Yes")</f>
        <v>Yes</v>
      </c>
      <c r="F530" s="5" t="str">
        <f>IFERROR(__xludf.DUMMYFUNCTION("IF(Q530&lt;&gt;"""", GOOGLETRANSLATE(Q530, ""RO"", ""EN""), """")"),"Not")</f>
        <v>Not</v>
      </c>
      <c r="G530" s="5" t="str">
        <f>IFERROR(__xludf.DUMMYFUNCTION("IF(R530&lt;&gt;"""", GOOGLETRANSLATE(R530, ""RO"", ""EN""), """")"),"")</f>
        <v/>
      </c>
      <c r="H530" s="5" t="str">
        <f>IFERROR(__xludf.DUMMYFUNCTION("IF(U530&lt;&gt;"""", GOOGLETRANSLATE(U530, ""RO"", ""EN""), """")"),"")</f>
        <v/>
      </c>
      <c r="I530" s="5" t="str">
        <f>IFERROR(__xludf.DUMMYFUNCTION("IF(V530&lt;&gt;"""", GOOGLETRANSLATE(V530, ""RO"", ""EN""), """")"),"")</f>
        <v/>
      </c>
      <c r="J530" s="5" t="str">
        <f>IFERROR(__xludf.DUMMYFUNCTION("IF(W530&lt;&gt;"""", GOOGLETRANSLATE(W530, ""RO"", ""EN""), """")"),"")</f>
        <v/>
      </c>
      <c r="K530" s="5" t="str">
        <f>IFERROR(__xludf.DUMMYFUNCTION("IF(X530&lt;&gt;"""", GOOGLETRANSLATE(X530, ""RO"", ""EN""), """")"),"")</f>
        <v/>
      </c>
      <c r="L530" s="5" t="str">
        <f>IFERROR(__xludf.DUMMYFUNCTION("IF(S530&lt;&gt;"""", GOOGLETRANSLATE(S530, ""RO"", ""EN""), """")"),"")</f>
        <v/>
      </c>
      <c r="M530" s="5" t="str">
        <f>IFERROR(__xludf.DUMMYFUNCTION("IF(T530&lt;&gt;"""", GOOGLETRANSLATE(T530, ""RO"", ""EN""), """")"),"No.")</f>
        <v>No.</v>
      </c>
      <c r="N530" s="5" t="str">
        <f>IFERROR(__xludf.DUMMYFUNCTION("IF(Y530&lt;&gt;"""", GOOGLETRANSLATE(Y530, ""RO"", ""EN""), """")"),"")</f>
        <v/>
      </c>
      <c r="P530" s="4" t="s">
        <v>639</v>
      </c>
      <c r="Q530" s="4" t="s">
        <v>640</v>
      </c>
      <c r="T530" s="4" t="s">
        <v>104</v>
      </c>
    </row>
    <row r="531" ht="15.75" customHeight="1">
      <c r="A531" s="4" t="s">
        <v>1537</v>
      </c>
      <c r="B531" s="4" t="s">
        <v>1538</v>
      </c>
      <c r="C531" s="4" t="str">
        <f>IFERROR(__xludf.DUMMYFUNCTION("GOOGLETRANSLATE(B531, ""RO"", ""EN"")"),"Which of the following things would you do for free for your favorite candidate? you hang a candidate's poster at the window")</f>
        <v>Which of the following things would you do for free for your favorite candidate? you hang a candidate's poster at the window</v>
      </c>
      <c r="D531" s="5" t="str">
        <f>IFERROR(__xludf.DUMMYFUNCTION("IF(O531&lt;&gt;"""", GOOGLETRANSLATE(O531, ""RO"", ""EN""), """")"),"")</f>
        <v/>
      </c>
      <c r="E531" s="6" t="str">
        <f>IFERROR(__xludf.DUMMYFUNCTION("IF(P531&lt;&gt;"""", GOOGLETRANSLATE(P531, ""RO"", ""EN""), """")"),"Yes")</f>
        <v>Yes</v>
      </c>
      <c r="F531" s="5" t="str">
        <f>IFERROR(__xludf.DUMMYFUNCTION("IF(Q531&lt;&gt;"""", GOOGLETRANSLATE(Q531, ""RO"", ""EN""), """")"),"Not")</f>
        <v>Not</v>
      </c>
      <c r="G531" s="5" t="str">
        <f>IFERROR(__xludf.DUMMYFUNCTION("IF(R531&lt;&gt;"""", GOOGLETRANSLATE(R531, ""RO"", ""EN""), """")"),"")</f>
        <v/>
      </c>
      <c r="H531" s="5" t="str">
        <f>IFERROR(__xludf.DUMMYFUNCTION("IF(U531&lt;&gt;"""", GOOGLETRANSLATE(U531, ""RO"", ""EN""), """")"),"")</f>
        <v/>
      </c>
      <c r="I531" s="5" t="str">
        <f>IFERROR(__xludf.DUMMYFUNCTION("IF(V531&lt;&gt;"""", GOOGLETRANSLATE(V531, ""RO"", ""EN""), """")"),"")</f>
        <v/>
      </c>
      <c r="J531" s="5" t="str">
        <f>IFERROR(__xludf.DUMMYFUNCTION("IF(W531&lt;&gt;"""", GOOGLETRANSLATE(W531, ""RO"", ""EN""), """")"),"")</f>
        <v/>
      </c>
      <c r="K531" s="5" t="str">
        <f>IFERROR(__xludf.DUMMYFUNCTION("IF(X531&lt;&gt;"""", GOOGLETRANSLATE(X531, ""RO"", ""EN""), """")"),"")</f>
        <v/>
      </c>
      <c r="L531" s="5" t="str">
        <f>IFERROR(__xludf.DUMMYFUNCTION("IF(S531&lt;&gt;"""", GOOGLETRANSLATE(S531, ""RO"", ""EN""), """")"),"Ns")</f>
        <v>Ns</v>
      </c>
      <c r="M531" s="5" t="str">
        <f>IFERROR(__xludf.DUMMYFUNCTION("IF(T531&lt;&gt;"""", GOOGLETRANSLATE(T531, ""RO"", ""EN""), """")"),"No.")</f>
        <v>No.</v>
      </c>
      <c r="N531" s="5" t="str">
        <f>IFERROR(__xludf.DUMMYFUNCTION("IF(Y531&lt;&gt;"""", GOOGLETRANSLATE(Y531, ""RO"", ""EN""), """")"),"")</f>
        <v/>
      </c>
      <c r="P531" s="4" t="s">
        <v>639</v>
      </c>
      <c r="Q531" s="4" t="s">
        <v>640</v>
      </c>
      <c r="S531" s="4" t="s">
        <v>103</v>
      </c>
      <c r="T531" s="4" t="s">
        <v>104</v>
      </c>
    </row>
    <row r="532" ht="15.75" customHeight="1">
      <c r="A532" s="4" t="s">
        <v>1539</v>
      </c>
      <c r="B532" s="4" t="s">
        <v>1540</v>
      </c>
      <c r="C532" s="4" t="str">
        <f>IFERROR(__xludf.DUMMYFUNCTION("GOOGLETRANSLATE(B532, ""RO"", ""EN"")"),"would you stick posters or distribute electoral materials for this candidate")</f>
        <v>would you stick posters or distribute electoral materials for this candidate</v>
      </c>
      <c r="D532" s="5" t="str">
        <f>IFERROR(__xludf.DUMMYFUNCTION("IF(O532&lt;&gt;"""", GOOGLETRANSLATE(O532, ""RO"", ""EN""), """")"),"")</f>
        <v/>
      </c>
      <c r="E532" s="6" t="str">
        <f>IFERROR(__xludf.DUMMYFUNCTION("IF(P532&lt;&gt;"""", GOOGLETRANSLATE(P532, ""RO"", ""EN""), """")"),"Yes")</f>
        <v>Yes</v>
      </c>
      <c r="F532" s="5" t="str">
        <f>IFERROR(__xludf.DUMMYFUNCTION("IF(Q532&lt;&gt;"""", GOOGLETRANSLATE(Q532, ""RO"", ""EN""), """")"),"Not")</f>
        <v>Not</v>
      </c>
      <c r="G532" s="5" t="str">
        <f>IFERROR(__xludf.DUMMYFUNCTION("IF(R532&lt;&gt;"""", GOOGLETRANSLATE(R532, ""RO"", ""EN""), """")"),"")</f>
        <v/>
      </c>
      <c r="H532" s="5" t="str">
        <f>IFERROR(__xludf.DUMMYFUNCTION("IF(U532&lt;&gt;"""", GOOGLETRANSLATE(U532, ""RO"", ""EN""), """")"),"")</f>
        <v/>
      </c>
      <c r="I532" s="5" t="str">
        <f>IFERROR(__xludf.DUMMYFUNCTION("IF(V532&lt;&gt;"""", GOOGLETRANSLATE(V532, ""RO"", ""EN""), """")"),"")</f>
        <v/>
      </c>
      <c r="J532" s="5" t="str">
        <f>IFERROR(__xludf.DUMMYFUNCTION("IF(W532&lt;&gt;"""", GOOGLETRANSLATE(W532, ""RO"", ""EN""), """")"),"")</f>
        <v/>
      </c>
      <c r="K532" s="5" t="str">
        <f>IFERROR(__xludf.DUMMYFUNCTION("IF(X532&lt;&gt;"""", GOOGLETRANSLATE(X532, ""RO"", ""EN""), """")"),"")</f>
        <v/>
      </c>
      <c r="L532" s="5" t="str">
        <f>IFERROR(__xludf.DUMMYFUNCTION("IF(S532&lt;&gt;"""", GOOGLETRANSLATE(S532, ""RO"", ""EN""), """")"),"Ns")</f>
        <v>Ns</v>
      </c>
      <c r="M532" s="5" t="str">
        <f>IFERROR(__xludf.DUMMYFUNCTION("IF(T532&lt;&gt;"""", GOOGLETRANSLATE(T532, ""RO"", ""EN""), """")"),"No.")</f>
        <v>No.</v>
      </c>
      <c r="N532" s="5" t="str">
        <f>IFERROR(__xludf.DUMMYFUNCTION("IF(Y532&lt;&gt;"""", GOOGLETRANSLATE(Y532, ""RO"", ""EN""), """")"),"")</f>
        <v/>
      </c>
      <c r="P532" s="4" t="s">
        <v>639</v>
      </c>
      <c r="Q532" s="4" t="s">
        <v>640</v>
      </c>
      <c r="S532" s="4" t="s">
        <v>103</v>
      </c>
      <c r="T532" s="4" t="s">
        <v>104</v>
      </c>
    </row>
    <row r="533" ht="15.75" customHeight="1">
      <c r="A533" s="4" t="s">
        <v>1541</v>
      </c>
      <c r="B533" s="4" t="s">
        <v>1542</v>
      </c>
      <c r="C533" s="4" t="str">
        <f>IFERROR(__xludf.DUMMYFUNCTION("GOOGLETRANSLATE(B533, ""RO"", ""EN"")"),"would you participate in a meeting of this candidate")</f>
        <v>would you participate in a meeting of this candidate</v>
      </c>
      <c r="D533" s="5" t="str">
        <f>IFERROR(__xludf.DUMMYFUNCTION("IF(O533&lt;&gt;"""", GOOGLETRANSLATE(O533, ""RO"", ""EN""), """")"),"")</f>
        <v/>
      </c>
      <c r="E533" s="6" t="str">
        <f>IFERROR(__xludf.DUMMYFUNCTION("IF(P533&lt;&gt;"""", GOOGLETRANSLATE(P533, ""RO"", ""EN""), """")"),"Yes")</f>
        <v>Yes</v>
      </c>
      <c r="F533" s="5" t="str">
        <f>IFERROR(__xludf.DUMMYFUNCTION("IF(Q533&lt;&gt;"""", GOOGLETRANSLATE(Q533, ""RO"", ""EN""), """")"),"Not")</f>
        <v>Not</v>
      </c>
      <c r="G533" s="5" t="str">
        <f>IFERROR(__xludf.DUMMYFUNCTION("IF(R533&lt;&gt;"""", GOOGLETRANSLATE(R533, ""RO"", ""EN""), """")"),"")</f>
        <v/>
      </c>
      <c r="H533" s="5" t="str">
        <f>IFERROR(__xludf.DUMMYFUNCTION("IF(U533&lt;&gt;"""", GOOGLETRANSLATE(U533, ""RO"", ""EN""), """")"),"")</f>
        <v/>
      </c>
      <c r="I533" s="5" t="str">
        <f>IFERROR(__xludf.DUMMYFUNCTION("IF(V533&lt;&gt;"""", GOOGLETRANSLATE(V533, ""RO"", ""EN""), """")"),"")</f>
        <v/>
      </c>
      <c r="J533" s="5" t="str">
        <f>IFERROR(__xludf.DUMMYFUNCTION("IF(W533&lt;&gt;"""", GOOGLETRANSLATE(W533, ""RO"", ""EN""), """")"),"")</f>
        <v/>
      </c>
      <c r="K533" s="5" t="str">
        <f>IFERROR(__xludf.DUMMYFUNCTION("IF(X533&lt;&gt;"""", GOOGLETRANSLATE(X533, ""RO"", ""EN""), """")"),"")</f>
        <v/>
      </c>
      <c r="L533" s="5" t="str">
        <f>IFERROR(__xludf.DUMMYFUNCTION("IF(S533&lt;&gt;"""", GOOGLETRANSLATE(S533, ""RO"", ""EN""), """")"),"Ns")</f>
        <v>Ns</v>
      </c>
      <c r="M533" s="5" t="str">
        <f>IFERROR(__xludf.DUMMYFUNCTION("IF(T533&lt;&gt;"""", GOOGLETRANSLATE(T533, ""RO"", ""EN""), """")"),"No.")</f>
        <v>No.</v>
      </c>
      <c r="N533" s="5" t="str">
        <f>IFERROR(__xludf.DUMMYFUNCTION("IF(Y533&lt;&gt;"""", GOOGLETRANSLATE(Y533, ""RO"", ""EN""), """")"),"")</f>
        <v/>
      </c>
      <c r="P533" s="4" t="s">
        <v>639</v>
      </c>
      <c r="Q533" s="4" t="s">
        <v>640</v>
      </c>
      <c r="S533" s="4" t="s">
        <v>103</v>
      </c>
      <c r="T533" s="4" t="s">
        <v>104</v>
      </c>
    </row>
    <row r="534" ht="15.75" customHeight="1">
      <c r="A534" s="4" t="s">
        <v>1543</v>
      </c>
      <c r="B534" s="4" t="s">
        <v>1544</v>
      </c>
      <c r="C534" s="4" t="str">
        <f>IFERROR(__xludf.DUMMYFUNCTION("GOOGLETRANSLATE(B534, ""RO"", ""EN"")"),"would you take the part of this candidate in front of unknown persons")</f>
        <v>would you take the part of this candidate in front of unknown persons</v>
      </c>
      <c r="D534" s="5" t="str">
        <f>IFERROR(__xludf.DUMMYFUNCTION("IF(O534&lt;&gt;"""", GOOGLETRANSLATE(O534, ""RO"", ""EN""), """")"),"")</f>
        <v/>
      </c>
      <c r="E534" s="6" t="str">
        <f>IFERROR(__xludf.DUMMYFUNCTION("IF(P534&lt;&gt;"""", GOOGLETRANSLATE(P534, ""RO"", ""EN""), """")"),"Yes")</f>
        <v>Yes</v>
      </c>
      <c r="F534" s="5" t="str">
        <f>IFERROR(__xludf.DUMMYFUNCTION("IF(Q534&lt;&gt;"""", GOOGLETRANSLATE(Q534, ""RO"", ""EN""), """")"),"Not")</f>
        <v>Not</v>
      </c>
      <c r="G534" s="5" t="str">
        <f>IFERROR(__xludf.DUMMYFUNCTION("IF(R534&lt;&gt;"""", GOOGLETRANSLATE(R534, ""RO"", ""EN""), """")"),"")</f>
        <v/>
      </c>
      <c r="H534" s="5" t="str">
        <f>IFERROR(__xludf.DUMMYFUNCTION("IF(U534&lt;&gt;"""", GOOGLETRANSLATE(U534, ""RO"", ""EN""), """")"),"")</f>
        <v/>
      </c>
      <c r="I534" s="5" t="str">
        <f>IFERROR(__xludf.DUMMYFUNCTION("IF(V534&lt;&gt;"""", GOOGLETRANSLATE(V534, ""RO"", ""EN""), """")"),"")</f>
        <v/>
      </c>
      <c r="J534" s="5" t="str">
        <f>IFERROR(__xludf.DUMMYFUNCTION("IF(W534&lt;&gt;"""", GOOGLETRANSLATE(W534, ""RO"", ""EN""), """")"),"")</f>
        <v/>
      </c>
      <c r="K534" s="5" t="str">
        <f>IFERROR(__xludf.DUMMYFUNCTION("IF(X534&lt;&gt;"""", GOOGLETRANSLATE(X534, ""RO"", ""EN""), """")"),"")</f>
        <v/>
      </c>
      <c r="L534" s="5" t="str">
        <f>IFERROR(__xludf.DUMMYFUNCTION("IF(S534&lt;&gt;"""", GOOGLETRANSLATE(S534, ""RO"", ""EN""), """")"),"Ns")</f>
        <v>Ns</v>
      </c>
      <c r="M534" s="5" t="str">
        <f>IFERROR(__xludf.DUMMYFUNCTION("IF(T534&lt;&gt;"""", GOOGLETRANSLATE(T534, ""RO"", ""EN""), """")"),"No.")</f>
        <v>No.</v>
      </c>
      <c r="N534" s="5" t="str">
        <f>IFERROR(__xludf.DUMMYFUNCTION("IF(Y534&lt;&gt;"""", GOOGLETRANSLATE(Y534, ""RO"", ""EN""), """")"),"")</f>
        <v/>
      </c>
      <c r="P534" s="4" t="s">
        <v>639</v>
      </c>
      <c r="Q534" s="4" t="s">
        <v>640</v>
      </c>
      <c r="S534" s="4" t="s">
        <v>103</v>
      </c>
      <c r="T534" s="4" t="s">
        <v>104</v>
      </c>
    </row>
    <row r="535" ht="15.75" customHeight="1">
      <c r="A535" s="4" t="s">
        <v>1545</v>
      </c>
      <c r="B535" s="4" t="s">
        <v>1546</v>
      </c>
      <c r="C535" s="4" t="str">
        <f>IFERROR(__xludf.DUMMYFUNCTION("GOOGLETRANSLATE(B535, ""RO"", ""EN"")"),"When did you decide with which candidate to vote for the 2nd round of presidential elections?")</f>
        <v>When did you decide with which candidate to vote for the 2nd round of presidential elections?</v>
      </c>
      <c r="D535" s="5" t="str">
        <f>IFERROR(__xludf.DUMMYFUNCTION("IF(O535&lt;&gt;"""", GOOGLETRANSLATE(O535, ""RO"", ""EN""), """")"),"")</f>
        <v/>
      </c>
      <c r="E535" s="6" t="str">
        <f>IFERROR(__xludf.DUMMYFUNCTION("IF(P535&lt;&gt;"""", GOOGLETRANSLATE(P535, ""RO"", ""EN""), """")"),"before the election campaign")</f>
        <v>before the election campaign</v>
      </c>
      <c r="F535" s="5" t="str">
        <f>IFERROR(__xludf.DUMMYFUNCTION("IF(Q535&lt;&gt;"""", GOOGLETRANSLATE(Q535, ""RO"", ""EN""), """")"),"In the election campaign before tour 1")</f>
        <v>In the election campaign before tour 1</v>
      </c>
      <c r="G535" s="5" t="str">
        <f>IFERROR(__xludf.DUMMYFUNCTION("IF(R535&lt;&gt;"""", GOOGLETRANSLATE(R535, ""RO"", ""EN""), """")"),"In the election campaign after tour 1")</f>
        <v>In the election campaign after tour 1</v>
      </c>
      <c r="H535" s="5" t="str">
        <f>IFERROR(__xludf.DUMMYFUNCTION("IF(U535&lt;&gt;"""", GOOGLETRANSLATE(U535, ""RO"", ""EN""), """")"),"In the election campaign on voting day")</f>
        <v>In the election campaign on voting day</v>
      </c>
      <c r="I535" s="5" t="str">
        <f>IFERROR(__xludf.DUMMYFUNCTION("IF(V535&lt;&gt;"""", GOOGLETRANSLATE(V535, ""RO"", ""EN""), """")"),"")</f>
        <v/>
      </c>
      <c r="J535" s="5" t="str">
        <f>IFERROR(__xludf.DUMMYFUNCTION("IF(W535&lt;&gt;"""", GOOGLETRANSLATE(W535, ""RO"", ""EN""), """")"),"")</f>
        <v/>
      </c>
      <c r="K535" s="5" t="str">
        <f>IFERROR(__xludf.DUMMYFUNCTION("IF(X535&lt;&gt;"""", GOOGLETRANSLATE(X535, ""RO"", ""EN""), """")"),"")</f>
        <v/>
      </c>
      <c r="L535" s="5" t="str">
        <f>IFERROR(__xludf.DUMMYFUNCTION("IF(S535&lt;&gt;"""", GOOGLETRANSLATE(S535, ""RO"", ""EN""), """")"),"Ns")</f>
        <v>Ns</v>
      </c>
      <c r="M535" s="5" t="str">
        <f>IFERROR(__xludf.DUMMYFUNCTION("IF(T535&lt;&gt;"""", GOOGLETRANSLATE(T535, ""RO"", ""EN""), """")"),"No.")</f>
        <v>No.</v>
      </c>
      <c r="N535" s="5" t="str">
        <f>IFERROR(__xludf.DUMMYFUNCTION("IF(Y535&lt;&gt;"""", GOOGLETRANSLATE(Y535, ""RO"", ""EN""), """")"),"")</f>
        <v/>
      </c>
      <c r="P535" s="4" t="s">
        <v>1547</v>
      </c>
      <c r="Q535" s="4" t="s">
        <v>1548</v>
      </c>
      <c r="R535" s="4" t="s">
        <v>1549</v>
      </c>
      <c r="S535" s="4" t="s">
        <v>103</v>
      </c>
      <c r="T535" s="4" t="s">
        <v>104</v>
      </c>
      <c r="U535" s="4" t="s">
        <v>1550</v>
      </c>
    </row>
    <row r="536" ht="15.75" customHeight="1">
      <c r="A536" s="4" t="s">
        <v>1551</v>
      </c>
      <c r="B536" s="4" t="s">
        <v>1552</v>
      </c>
      <c r="C536" s="4" t="str">
        <f>IFERROR(__xludf.DUMMYFUNCTION("GOOGLETRANSLATE(B536, ""RO"", ""EN"")"),"Have you followed or discussed with someone about the electoral debate in the last week of campaign between Traian Basescu and Mircea Geoana?")</f>
        <v>Have you followed or discussed with someone about the electoral debate in the last week of campaign between Traian Basescu and Mircea Geoana?</v>
      </c>
      <c r="D536" s="5" t="str">
        <f>IFERROR(__xludf.DUMMYFUNCTION("IF(O536&lt;&gt;"""", GOOGLETRANSLATE(O536, ""RO"", ""EN""), """")"),"")</f>
        <v/>
      </c>
      <c r="E536" s="6" t="str">
        <f>IFERROR(__xludf.DUMMYFUNCTION("IF(P536&lt;&gt;"""", GOOGLETRANSLATE(P536, ""RO"", ""EN""), """")"),"I followed and talked")</f>
        <v>I followed and talked</v>
      </c>
      <c r="F536" s="5" t="str">
        <f>IFERROR(__xludf.DUMMYFUNCTION("IF(Q536&lt;&gt;"""", GOOGLETRANSLATE(Q536, ""RO"", ""EN""), """")"),"I watched but did not discuss")</f>
        <v>I watched but did not discuss</v>
      </c>
      <c r="G536" s="5" t="str">
        <f>IFERROR(__xludf.DUMMYFUNCTION("IF(R536&lt;&gt;"""", GOOGLETRANSLATE(R536, ""RO"", ""EN""), """")"),"I did not follow but I discussed")</f>
        <v>I did not follow but I discussed</v>
      </c>
      <c r="H536" s="5" t="str">
        <f>IFERROR(__xludf.DUMMYFUNCTION("IF(U536&lt;&gt;"""", GOOGLETRANSLATE(U536, ""RO"", ""EN""), """")"),"Nor did I follow or discussed")</f>
        <v>Nor did I follow or discussed</v>
      </c>
      <c r="I536" s="5" t="str">
        <f>IFERROR(__xludf.DUMMYFUNCTION("IF(V536&lt;&gt;"""", GOOGLETRANSLATE(V536, ""RO"", ""EN""), """")"),"")</f>
        <v/>
      </c>
      <c r="J536" s="5" t="str">
        <f>IFERROR(__xludf.DUMMYFUNCTION("IF(W536&lt;&gt;"""", GOOGLETRANSLATE(W536, ""RO"", ""EN""), """")"),"")</f>
        <v/>
      </c>
      <c r="K536" s="5" t="str">
        <f>IFERROR(__xludf.DUMMYFUNCTION("IF(X536&lt;&gt;"""", GOOGLETRANSLATE(X536, ""RO"", ""EN""), """")"),"")</f>
        <v/>
      </c>
      <c r="L536" s="5" t="str">
        <f>IFERROR(__xludf.DUMMYFUNCTION("IF(S536&lt;&gt;"""", GOOGLETRANSLATE(S536, ""RO"", ""EN""), """")"),"Ns")</f>
        <v>Ns</v>
      </c>
      <c r="M536" s="5" t="str">
        <f>IFERROR(__xludf.DUMMYFUNCTION("IF(T536&lt;&gt;"""", GOOGLETRANSLATE(T536, ""RO"", ""EN""), """")"),"No.")</f>
        <v>No.</v>
      </c>
      <c r="N536" s="5" t="str">
        <f>IFERROR(__xludf.DUMMYFUNCTION("IF(Y536&lt;&gt;"""", GOOGLETRANSLATE(Y536, ""RO"", ""EN""), """")"),"")</f>
        <v/>
      </c>
      <c r="P536" s="4" t="s">
        <v>1182</v>
      </c>
      <c r="Q536" s="4" t="s">
        <v>1183</v>
      </c>
      <c r="R536" s="4" t="s">
        <v>1184</v>
      </c>
      <c r="S536" s="4" t="s">
        <v>103</v>
      </c>
      <c r="T536" s="4" t="s">
        <v>104</v>
      </c>
      <c r="U536" s="4" t="s">
        <v>1185</v>
      </c>
    </row>
    <row r="537" ht="15.75" customHeight="1">
      <c r="A537" s="4" t="s">
        <v>1553</v>
      </c>
      <c r="B537" s="4" t="s">
        <v>1187</v>
      </c>
      <c r="C537" s="4" t="str">
        <f>IFERROR(__xludf.DUMMYFUNCTION("GOOGLETRANSLATE(B537, ""RO"", ""EN"")"),"Did the debate or discussions of this change your intention to go to the vote?")</f>
        <v>Did the debate or discussions of this change your intention to go to the vote?</v>
      </c>
      <c r="D537" s="5" t="str">
        <f>IFERROR(__xludf.DUMMYFUNCTION("IF(O537&lt;&gt;"""", GOOGLETRANSLATE(O537, ""RO"", ""EN""), """")"),"")</f>
        <v/>
      </c>
      <c r="E537" s="6" t="str">
        <f>IFERROR(__xludf.DUMMYFUNCTION("IF(P537&lt;&gt;"""", GOOGLETRANSLATE(P537, ""RO"", ""EN""), """")"),"have determined you to vote")</f>
        <v>have determined you to vote</v>
      </c>
      <c r="F537" s="5" t="str">
        <f>IFERROR(__xludf.DUMMYFUNCTION("IF(Q537&lt;&gt;"""", GOOGLETRANSLATE(Q537, ""RO"", ""EN""), """")"),"have determined you not to go to vote")</f>
        <v>have determined you not to go to vote</v>
      </c>
      <c r="G537" s="5" t="str">
        <f>IFERROR(__xludf.DUMMYFUNCTION("IF(R537&lt;&gt;"""", GOOGLETRANSLATE(R537, ""RO"", ""EN""), """")"),"have not changed your initial intention")</f>
        <v>have not changed your initial intention</v>
      </c>
      <c r="H537" s="5" t="str">
        <f>IFERROR(__xludf.DUMMYFUNCTION("IF(U537&lt;&gt;"""", GOOGLETRANSLATE(U537, ""RO"", ""EN""), """")"),"")</f>
        <v/>
      </c>
      <c r="I537" s="5" t="str">
        <f>IFERROR(__xludf.DUMMYFUNCTION("IF(V537&lt;&gt;"""", GOOGLETRANSLATE(V537, ""RO"", ""EN""), """")"),"")</f>
        <v/>
      </c>
      <c r="J537" s="5" t="str">
        <f>IFERROR(__xludf.DUMMYFUNCTION("IF(W537&lt;&gt;"""", GOOGLETRANSLATE(W537, ""RO"", ""EN""), """")"),"")</f>
        <v/>
      </c>
      <c r="K537" s="5" t="str">
        <f>IFERROR(__xludf.DUMMYFUNCTION("IF(X537&lt;&gt;"""", GOOGLETRANSLATE(X537, ""RO"", ""EN""), """")"),"You did not follow the debate")</f>
        <v>You did not follow the debate</v>
      </c>
      <c r="L537" s="5" t="str">
        <f>IFERROR(__xludf.DUMMYFUNCTION("IF(S537&lt;&gt;"""", GOOGLETRANSLATE(S537, ""RO"", ""EN""), """")"),"Ns")</f>
        <v>Ns</v>
      </c>
      <c r="M537" s="5" t="str">
        <f>IFERROR(__xludf.DUMMYFUNCTION("IF(T537&lt;&gt;"""", GOOGLETRANSLATE(T537, ""RO"", ""EN""), """")"),"No.")</f>
        <v>No.</v>
      </c>
      <c r="N537" s="5" t="str">
        <f>IFERROR(__xludf.DUMMYFUNCTION("IF(Y537&lt;&gt;"""", GOOGLETRANSLATE(Y537, ""RO"", ""EN""), """")"),"")</f>
        <v/>
      </c>
      <c r="P537" s="4" t="s">
        <v>1554</v>
      </c>
      <c r="Q537" s="4" t="s">
        <v>1555</v>
      </c>
      <c r="R537" s="4" t="s">
        <v>1556</v>
      </c>
      <c r="S537" s="4" t="s">
        <v>103</v>
      </c>
      <c r="T537" s="4" t="s">
        <v>104</v>
      </c>
      <c r="X537" s="4" t="s">
        <v>1191</v>
      </c>
    </row>
    <row r="538" ht="15.75" customHeight="1">
      <c r="A538" s="4" t="s">
        <v>1557</v>
      </c>
      <c r="B538" s="4" t="s">
        <v>1193</v>
      </c>
      <c r="C538" s="4" t="str">
        <f>IFERROR(__xludf.DUMMYFUNCTION("GOOGLETRANSLATE(B538, ""RO"", ""EN"")"),"Did the debate or discussions of this change your voting option?")</f>
        <v>Did the debate or discussions of this change your voting option?</v>
      </c>
      <c r="D538" s="5" t="str">
        <f>IFERROR(__xludf.DUMMYFUNCTION("IF(O538&lt;&gt;"""", GOOGLETRANSLATE(O538, ""RO"", ""EN""), """")"),"")</f>
        <v/>
      </c>
      <c r="E538" s="6" t="str">
        <f>IFERROR(__xludf.DUMMYFUNCTION("IF(P538&lt;&gt;"""", GOOGLETRANSLATE(P538, ""RO"", ""EN""), """")"),"Yes")</f>
        <v>Yes</v>
      </c>
      <c r="F538" s="5" t="str">
        <f>IFERROR(__xludf.DUMMYFUNCTION("IF(Q538&lt;&gt;"""", GOOGLETRANSLATE(Q538, ""RO"", ""EN""), """")"),"Not")</f>
        <v>Not</v>
      </c>
      <c r="G538" s="5" t="str">
        <f>IFERROR(__xludf.DUMMYFUNCTION("IF(R538&lt;&gt;"""", GOOGLETRANSLATE(R538, ""RO"", ""EN""), """")"),"")</f>
        <v/>
      </c>
      <c r="H538" s="5" t="str">
        <f>IFERROR(__xludf.DUMMYFUNCTION("IF(U538&lt;&gt;"""", GOOGLETRANSLATE(U538, ""RO"", ""EN""), """")"),"")</f>
        <v/>
      </c>
      <c r="I538" s="5" t="str">
        <f>IFERROR(__xludf.DUMMYFUNCTION("IF(V538&lt;&gt;"""", GOOGLETRANSLATE(V538, ""RO"", ""EN""), """")"),"")</f>
        <v/>
      </c>
      <c r="J538" s="5" t="str">
        <f>IFERROR(__xludf.DUMMYFUNCTION("IF(W538&lt;&gt;"""", GOOGLETRANSLATE(W538, ""RO"", ""EN""), """")"),"")</f>
        <v/>
      </c>
      <c r="K538" s="5" t="str">
        <f>IFERROR(__xludf.DUMMYFUNCTION("IF(X538&lt;&gt;"""", GOOGLETRANSLATE(X538, ""RO"", ""EN""), """")"),"Nc")</f>
        <v>Nc</v>
      </c>
      <c r="L538" s="5" t="str">
        <f>IFERROR(__xludf.DUMMYFUNCTION("IF(S538&lt;&gt;"""", GOOGLETRANSLATE(S538, ""RO"", ""EN""), """")"),"Ns")</f>
        <v>Ns</v>
      </c>
      <c r="M538" s="5" t="str">
        <f>IFERROR(__xludf.DUMMYFUNCTION("IF(T538&lt;&gt;"""", GOOGLETRANSLATE(T538, ""RO"", ""EN""), """")"),"No.")</f>
        <v>No.</v>
      </c>
      <c r="N538" s="5" t="str">
        <f>IFERROR(__xludf.DUMMYFUNCTION("IF(Y538&lt;&gt;"""", GOOGLETRANSLATE(Y538, ""RO"", ""EN""), """")"),"")</f>
        <v/>
      </c>
      <c r="P538" s="4" t="s">
        <v>639</v>
      </c>
      <c r="Q538" s="4" t="s">
        <v>640</v>
      </c>
      <c r="S538" s="4" t="s">
        <v>103</v>
      </c>
      <c r="T538" s="4" t="s">
        <v>104</v>
      </c>
      <c r="X538" s="4" t="s">
        <v>177</v>
      </c>
    </row>
    <row r="539" ht="15.75" customHeight="1">
      <c r="A539" s="4" t="s">
        <v>1558</v>
      </c>
      <c r="B539" s="4" t="s">
        <v>1559</v>
      </c>
      <c r="C539" s="4" t="str">
        <f>IFERROR(__xludf.DUMMYFUNCTION("GOOGLETRANSLATE(B539, ""RO"", ""EN"")"),"After the first round of the elections, the PNL candidate Crin Antonescu announced his support for the PSD candidate Mircea Geoana. Have you heard this so far or not?")</f>
        <v>After the first round of the elections, the PNL candidate Crin Antonescu announced his support for the PSD candidate Mircea Geoana. Have you heard this so far or not?</v>
      </c>
      <c r="D539" s="5" t="str">
        <f>IFERROR(__xludf.DUMMYFUNCTION("IF(O539&lt;&gt;"""", GOOGLETRANSLATE(O539, ""RO"", ""EN""), """")"),"")</f>
        <v/>
      </c>
      <c r="E539" s="6" t="str">
        <f>IFERROR(__xludf.DUMMYFUNCTION("IF(P539&lt;&gt;"""", GOOGLETRANSLATE(P539, ""RO"", ""EN""), """")"),"I heard")</f>
        <v>I heard</v>
      </c>
      <c r="F539" s="5" t="str">
        <f>IFERROR(__xludf.DUMMYFUNCTION("IF(Q539&lt;&gt;"""", GOOGLETRANSLATE(Q539, ""RO"", ""EN""), """")"),"I have not heard")</f>
        <v>I have not heard</v>
      </c>
      <c r="G539" s="5" t="str">
        <f>IFERROR(__xludf.DUMMYFUNCTION("IF(R539&lt;&gt;"""", GOOGLETRANSLATE(R539, ""RO"", ""EN""), """")"),"")</f>
        <v/>
      </c>
      <c r="H539" s="5" t="str">
        <f>IFERROR(__xludf.DUMMYFUNCTION("IF(U539&lt;&gt;"""", GOOGLETRANSLATE(U539, ""RO"", ""EN""), """")"),"")</f>
        <v/>
      </c>
      <c r="I539" s="5" t="str">
        <f>IFERROR(__xludf.DUMMYFUNCTION("IF(V539&lt;&gt;"""", GOOGLETRANSLATE(V539, ""RO"", ""EN""), """")"),"")</f>
        <v/>
      </c>
      <c r="J539" s="5" t="str">
        <f>IFERROR(__xludf.DUMMYFUNCTION("IF(W539&lt;&gt;"""", GOOGLETRANSLATE(W539, ""RO"", ""EN""), """")"),"")</f>
        <v/>
      </c>
      <c r="K539" s="5" t="str">
        <f>IFERROR(__xludf.DUMMYFUNCTION("IF(X539&lt;&gt;"""", GOOGLETRANSLATE(X539, ""RO"", ""EN""), """")"),"")</f>
        <v/>
      </c>
      <c r="L539" s="5" t="str">
        <f>IFERROR(__xludf.DUMMYFUNCTION("IF(S539&lt;&gt;"""", GOOGLETRANSLATE(S539, ""RO"", ""EN""), """")"),"Ns")</f>
        <v>Ns</v>
      </c>
      <c r="M539" s="5" t="str">
        <f>IFERROR(__xludf.DUMMYFUNCTION("IF(T539&lt;&gt;"""", GOOGLETRANSLATE(T539, ""RO"", ""EN""), """")"),"No.")</f>
        <v>No.</v>
      </c>
      <c r="N539" s="5" t="str">
        <f>IFERROR(__xludf.DUMMYFUNCTION("IF(Y539&lt;&gt;"""", GOOGLETRANSLATE(Y539, ""RO"", ""EN""), """")"),"")</f>
        <v/>
      </c>
      <c r="P539" s="4" t="s">
        <v>1560</v>
      </c>
      <c r="Q539" s="4" t="s">
        <v>1349</v>
      </c>
      <c r="S539" s="4" t="s">
        <v>103</v>
      </c>
      <c r="T539" s="4" t="s">
        <v>104</v>
      </c>
    </row>
    <row r="540" ht="15.75" customHeight="1">
      <c r="A540" s="4" t="s">
        <v>1561</v>
      </c>
      <c r="B540" s="4" t="s">
        <v>1562</v>
      </c>
      <c r="C540" s="4" t="str">
        <f>IFERROR(__xludf.DUMMYFUNCTION("GOOGLETRANSLATE(B540, ""RO"", ""EN"")"),"Antonescu's announcement regarding the support of Geoana ... Did you change the decision to participate or not in the vote 2 of the elections?")</f>
        <v>Antonescu's announcement regarding the support of Geoana ... Did you change the decision to participate or not in the vote 2 of the elections?</v>
      </c>
      <c r="D540" s="5" t="str">
        <f>IFERROR(__xludf.DUMMYFUNCTION("IF(O540&lt;&gt;"""", GOOGLETRANSLATE(O540, ""RO"", ""EN""), """")"),"")</f>
        <v/>
      </c>
      <c r="E540" s="6" t="str">
        <f>IFERROR(__xludf.DUMMYFUNCTION("IF(P540&lt;&gt;"""", GOOGLETRANSLATE(P540, ""RO"", ""EN""), """")"),"Yes")</f>
        <v>Yes</v>
      </c>
      <c r="F540" s="5" t="str">
        <f>IFERROR(__xludf.DUMMYFUNCTION("IF(Q540&lt;&gt;"""", GOOGLETRANSLATE(Q540, ""RO"", ""EN""), """")"),"Not")</f>
        <v>Not</v>
      </c>
      <c r="G540" s="5" t="str">
        <f>IFERROR(__xludf.DUMMYFUNCTION("IF(R540&lt;&gt;"""", GOOGLETRANSLATE(R540, ""RO"", ""EN""), """")"),"")</f>
        <v/>
      </c>
      <c r="H540" s="5" t="str">
        <f>IFERROR(__xludf.DUMMYFUNCTION("IF(U540&lt;&gt;"""", GOOGLETRANSLATE(U540, ""RO"", ""EN""), """")"),"")</f>
        <v/>
      </c>
      <c r="I540" s="5" t="str">
        <f>IFERROR(__xludf.DUMMYFUNCTION("IF(V540&lt;&gt;"""", GOOGLETRANSLATE(V540, ""RO"", ""EN""), """")"),"")</f>
        <v/>
      </c>
      <c r="J540" s="5" t="str">
        <f>IFERROR(__xludf.DUMMYFUNCTION("IF(W540&lt;&gt;"""", GOOGLETRANSLATE(W540, ""RO"", ""EN""), """")"),"")</f>
        <v/>
      </c>
      <c r="K540" s="5" t="str">
        <f>IFERROR(__xludf.DUMMYFUNCTION("IF(X540&lt;&gt;"""", GOOGLETRANSLATE(X540, ""RO"", ""EN""), """")"),"Nc")</f>
        <v>Nc</v>
      </c>
      <c r="L540" s="5" t="str">
        <f>IFERROR(__xludf.DUMMYFUNCTION("IF(S540&lt;&gt;"""", GOOGLETRANSLATE(S540, ""RO"", ""EN""), """")"),"Ns")</f>
        <v>Ns</v>
      </c>
      <c r="M540" s="5" t="str">
        <f>IFERROR(__xludf.DUMMYFUNCTION("IF(T540&lt;&gt;"""", GOOGLETRANSLATE(T540, ""RO"", ""EN""), """")"),"No.")</f>
        <v>No.</v>
      </c>
      <c r="N540" s="5" t="str">
        <f>IFERROR(__xludf.DUMMYFUNCTION("IF(Y540&lt;&gt;"""", GOOGLETRANSLATE(Y540, ""RO"", ""EN""), """")"),"")</f>
        <v/>
      </c>
      <c r="P540" s="4" t="s">
        <v>639</v>
      </c>
      <c r="Q540" s="4" t="s">
        <v>640</v>
      </c>
      <c r="S540" s="4" t="s">
        <v>103</v>
      </c>
      <c r="T540" s="4" t="s">
        <v>104</v>
      </c>
      <c r="X540" s="4" t="s">
        <v>177</v>
      </c>
    </row>
    <row r="541" ht="15.75" customHeight="1">
      <c r="A541" s="4" t="s">
        <v>1563</v>
      </c>
      <c r="B541" s="4" t="s">
        <v>1564</v>
      </c>
      <c r="C541" s="4" t="str">
        <f>IFERROR(__xludf.DUMMYFUNCTION("GOOGLETRANSLATE(B541, ""RO"", ""EN"")"),"… Did you change your option for the 2-election tour?")</f>
        <v>… Did you change your option for the 2-election tour?</v>
      </c>
      <c r="D541" s="5" t="str">
        <f>IFERROR(__xludf.DUMMYFUNCTION("IF(O541&lt;&gt;"""", GOOGLETRANSLATE(O541, ""RO"", ""EN""), """")"),"")</f>
        <v/>
      </c>
      <c r="E541" s="6" t="str">
        <f>IFERROR(__xludf.DUMMYFUNCTION("IF(P541&lt;&gt;"""", GOOGLETRANSLATE(P541, ""RO"", ""EN""), """")"),"Yes")</f>
        <v>Yes</v>
      </c>
      <c r="F541" s="5" t="str">
        <f>IFERROR(__xludf.DUMMYFUNCTION("IF(Q541&lt;&gt;"""", GOOGLETRANSLATE(Q541, ""RO"", ""EN""), """")"),"Not")</f>
        <v>Not</v>
      </c>
      <c r="G541" s="5" t="str">
        <f>IFERROR(__xludf.DUMMYFUNCTION("IF(R541&lt;&gt;"""", GOOGLETRANSLATE(R541, ""RO"", ""EN""), """")"),"")</f>
        <v/>
      </c>
      <c r="H541" s="5" t="str">
        <f>IFERROR(__xludf.DUMMYFUNCTION("IF(U541&lt;&gt;"""", GOOGLETRANSLATE(U541, ""RO"", ""EN""), """")"),"")</f>
        <v/>
      </c>
      <c r="I541" s="5" t="str">
        <f>IFERROR(__xludf.DUMMYFUNCTION("IF(V541&lt;&gt;"""", GOOGLETRANSLATE(V541, ""RO"", ""EN""), """")"),"")</f>
        <v/>
      </c>
      <c r="J541" s="5" t="str">
        <f>IFERROR(__xludf.DUMMYFUNCTION("IF(W541&lt;&gt;"""", GOOGLETRANSLATE(W541, ""RO"", ""EN""), """")"),"")</f>
        <v/>
      </c>
      <c r="K541" s="5" t="str">
        <f>IFERROR(__xludf.DUMMYFUNCTION("IF(X541&lt;&gt;"""", GOOGLETRANSLATE(X541, ""RO"", ""EN""), """")"),"Nc")</f>
        <v>Nc</v>
      </c>
      <c r="L541" s="5" t="str">
        <f>IFERROR(__xludf.DUMMYFUNCTION("IF(S541&lt;&gt;"""", GOOGLETRANSLATE(S541, ""RO"", ""EN""), """")"),"Ns")</f>
        <v>Ns</v>
      </c>
      <c r="M541" s="5" t="str">
        <f>IFERROR(__xludf.DUMMYFUNCTION("IF(T541&lt;&gt;"""", GOOGLETRANSLATE(T541, ""RO"", ""EN""), """")"),"No.")</f>
        <v>No.</v>
      </c>
      <c r="N541" s="5" t="str">
        <f>IFERROR(__xludf.DUMMYFUNCTION("IF(Y541&lt;&gt;"""", GOOGLETRANSLATE(Y541, ""RO"", ""EN""), """")"),"")</f>
        <v/>
      </c>
      <c r="P541" s="4" t="s">
        <v>639</v>
      </c>
      <c r="Q541" s="4" t="s">
        <v>640</v>
      </c>
      <c r="S541" s="4" t="s">
        <v>103</v>
      </c>
      <c r="T541" s="4" t="s">
        <v>104</v>
      </c>
      <c r="X541" s="4" t="s">
        <v>177</v>
      </c>
    </row>
    <row r="542" ht="15.75" customHeight="1">
      <c r="A542" s="4" t="s">
        <v>1565</v>
      </c>
      <c r="B542" s="4" t="s">
        <v>1566</v>
      </c>
      <c r="C542" s="4" t="str">
        <f>IFERROR(__xludf.DUMMYFUNCTION("GOOGLETRANSLATE(B542, ""RO"", ""EN"")"),"Mircea Geoana (PSD) and Crin Antonescu (PNL) signed an agreement for the support of Klaus Johannis as prime minister of Romania. Have you heard this so far or not?")</f>
        <v>Mircea Geoana (PSD) and Crin Antonescu (PNL) signed an agreement for the support of Klaus Johannis as prime minister of Romania. Have you heard this so far or not?</v>
      </c>
      <c r="D542" s="5" t="str">
        <f>IFERROR(__xludf.DUMMYFUNCTION("IF(O542&lt;&gt;"""", GOOGLETRANSLATE(O542, ""RO"", ""EN""), """")"),"")</f>
        <v/>
      </c>
      <c r="E542" s="6" t="str">
        <f>IFERROR(__xludf.DUMMYFUNCTION("IF(P542&lt;&gt;"""", GOOGLETRANSLATE(P542, ""RO"", ""EN""), """")"),"I heard")</f>
        <v>I heard</v>
      </c>
      <c r="F542" s="5" t="str">
        <f>IFERROR(__xludf.DUMMYFUNCTION("IF(Q542&lt;&gt;"""", GOOGLETRANSLATE(Q542, ""RO"", ""EN""), """")"),"I have not heard")</f>
        <v>I have not heard</v>
      </c>
      <c r="G542" s="5" t="str">
        <f>IFERROR(__xludf.DUMMYFUNCTION("IF(R542&lt;&gt;"""", GOOGLETRANSLATE(R542, ""RO"", ""EN""), """")"),"")</f>
        <v/>
      </c>
      <c r="H542" s="5" t="str">
        <f>IFERROR(__xludf.DUMMYFUNCTION("IF(U542&lt;&gt;"""", GOOGLETRANSLATE(U542, ""RO"", ""EN""), """")"),"")</f>
        <v/>
      </c>
      <c r="I542" s="5" t="str">
        <f>IFERROR(__xludf.DUMMYFUNCTION("IF(V542&lt;&gt;"""", GOOGLETRANSLATE(V542, ""RO"", ""EN""), """")"),"")</f>
        <v/>
      </c>
      <c r="J542" s="5" t="str">
        <f>IFERROR(__xludf.DUMMYFUNCTION("IF(W542&lt;&gt;"""", GOOGLETRANSLATE(W542, ""RO"", ""EN""), """")"),"")</f>
        <v/>
      </c>
      <c r="K542" s="5" t="str">
        <f>IFERROR(__xludf.DUMMYFUNCTION("IF(X542&lt;&gt;"""", GOOGLETRANSLATE(X542, ""RO"", ""EN""), """")"),"")</f>
        <v/>
      </c>
      <c r="L542" s="5" t="str">
        <f>IFERROR(__xludf.DUMMYFUNCTION("IF(S542&lt;&gt;"""", GOOGLETRANSLATE(S542, ""RO"", ""EN""), """")"),"Ns")</f>
        <v>Ns</v>
      </c>
      <c r="M542" s="5" t="str">
        <f>IFERROR(__xludf.DUMMYFUNCTION("IF(T542&lt;&gt;"""", GOOGLETRANSLATE(T542, ""RO"", ""EN""), """")"),"No.")</f>
        <v>No.</v>
      </c>
      <c r="N542" s="5" t="str">
        <f>IFERROR(__xludf.DUMMYFUNCTION("IF(Y542&lt;&gt;"""", GOOGLETRANSLATE(Y542, ""RO"", ""EN""), """")"),"")</f>
        <v/>
      </c>
      <c r="P542" s="4" t="s">
        <v>1560</v>
      </c>
      <c r="Q542" s="4" t="s">
        <v>1349</v>
      </c>
      <c r="S542" s="4" t="s">
        <v>103</v>
      </c>
      <c r="T542" s="4" t="s">
        <v>104</v>
      </c>
    </row>
    <row r="543" ht="15.75" customHeight="1">
      <c r="A543" s="4" t="s">
        <v>1567</v>
      </c>
      <c r="B543" s="4" t="s">
        <v>1568</v>
      </c>
      <c r="C543" s="4" t="str">
        <f>IFERROR(__xludf.DUMMYFUNCTION("GOOGLETRANSLATE(B543, ""RO"", ""EN"")"),"Understanding Johannis's support ... is it a good thing for Romania or not?")</f>
        <v>Understanding Johannis's support ... is it a good thing for Romania or not?</v>
      </c>
      <c r="D543" s="5" t="str">
        <f>IFERROR(__xludf.DUMMYFUNCTION("IF(O543&lt;&gt;"""", GOOGLETRANSLATE(O543, ""RO"", ""EN""), """")"),"")</f>
        <v/>
      </c>
      <c r="E543" s="6" t="str">
        <f>IFERROR(__xludf.DUMMYFUNCTION("IF(P543&lt;&gt;"""", GOOGLETRANSLATE(P543, ""RO"", ""EN""), """")"),"Yes")</f>
        <v>Yes</v>
      </c>
      <c r="F543" s="5" t="str">
        <f>IFERROR(__xludf.DUMMYFUNCTION("IF(Q543&lt;&gt;"""", GOOGLETRANSLATE(Q543, ""RO"", ""EN""), """")"),"Not")</f>
        <v>Not</v>
      </c>
      <c r="G543" s="5" t="str">
        <f>IFERROR(__xludf.DUMMYFUNCTION("IF(R543&lt;&gt;"""", GOOGLETRANSLATE(R543, ""RO"", ""EN""), """")"),"")</f>
        <v/>
      </c>
      <c r="H543" s="5" t="str">
        <f>IFERROR(__xludf.DUMMYFUNCTION("IF(U543&lt;&gt;"""", GOOGLETRANSLATE(U543, ""RO"", ""EN""), """")"),"")</f>
        <v/>
      </c>
      <c r="I543" s="5" t="str">
        <f>IFERROR(__xludf.DUMMYFUNCTION("IF(V543&lt;&gt;"""", GOOGLETRANSLATE(V543, ""RO"", ""EN""), """")"),"")</f>
        <v/>
      </c>
      <c r="J543" s="5" t="str">
        <f>IFERROR(__xludf.DUMMYFUNCTION("IF(W543&lt;&gt;"""", GOOGLETRANSLATE(W543, ""RO"", ""EN""), """")"),"")</f>
        <v/>
      </c>
      <c r="K543" s="5" t="str">
        <f>IFERROR(__xludf.DUMMYFUNCTION("IF(X543&lt;&gt;"""", GOOGLETRANSLATE(X543, ""RO"", ""EN""), """")"),"Nc")</f>
        <v>Nc</v>
      </c>
      <c r="L543" s="5" t="str">
        <f>IFERROR(__xludf.DUMMYFUNCTION("IF(S543&lt;&gt;"""", GOOGLETRANSLATE(S543, ""RO"", ""EN""), """")"),"Ns")</f>
        <v>Ns</v>
      </c>
      <c r="M543" s="5" t="str">
        <f>IFERROR(__xludf.DUMMYFUNCTION("IF(T543&lt;&gt;"""", GOOGLETRANSLATE(T543, ""RO"", ""EN""), """")"),"No.")</f>
        <v>No.</v>
      </c>
      <c r="N543" s="5" t="str">
        <f>IFERROR(__xludf.DUMMYFUNCTION("IF(Y543&lt;&gt;"""", GOOGLETRANSLATE(Y543, ""RO"", ""EN""), """")"),"")</f>
        <v/>
      </c>
      <c r="P543" s="4" t="s">
        <v>639</v>
      </c>
      <c r="Q543" s="4" t="s">
        <v>640</v>
      </c>
      <c r="S543" s="4" t="s">
        <v>103</v>
      </c>
      <c r="T543" s="4" t="s">
        <v>104</v>
      </c>
      <c r="X543" s="4" t="s">
        <v>177</v>
      </c>
    </row>
    <row r="544" ht="15.75" customHeight="1">
      <c r="A544" s="4" t="s">
        <v>1569</v>
      </c>
      <c r="B544" s="4" t="s">
        <v>1570</v>
      </c>
      <c r="C544" s="4" t="str">
        <f>IFERROR(__xludf.DUMMYFUNCTION("GOOGLETRANSLATE(B544, ""RO"", ""EN"")"),"... Did you change the decision to participate or not in the vote in the 2-election round?")</f>
        <v>... Did you change the decision to participate or not in the vote in the 2-election round?</v>
      </c>
      <c r="D544" s="5" t="str">
        <f>IFERROR(__xludf.DUMMYFUNCTION("IF(O544&lt;&gt;"""", GOOGLETRANSLATE(O544, ""RO"", ""EN""), """")"),"")</f>
        <v/>
      </c>
      <c r="E544" s="6" t="str">
        <f>IFERROR(__xludf.DUMMYFUNCTION("IF(P544&lt;&gt;"""", GOOGLETRANSLATE(P544, ""RO"", ""EN""), """")"),"Yes")</f>
        <v>Yes</v>
      </c>
      <c r="F544" s="5" t="str">
        <f>IFERROR(__xludf.DUMMYFUNCTION("IF(Q544&lt;&gt;"""", GOOGLETRANSLATE(Q544, ""RO"", ""EN""), """")"),"Not")</f>
        <v>Not</v>
      </c>
      <c r="G544" s="5" t="str">
        <f>IFERROR(__xludf.DUMMYFUNCTION("IF(R544&lt;&gt;"""", GOOGLETRANSLATE(R544, ""RO"", ""EN""), """")"),"")</f>
        <v/>
      </c>
      <c r="H544" s="5" t="str">
        <f>IFERROR(__xludf.DUMMYFUNCTION("IF(U544&lt;&gt;"""", GOOGLETRANSLATE(U544, ""RO"", ""EN""), """")"),"")</f>
        <v/>
      </c>
      <c r="I544" s="5" t="str">
        <f>IFERROR(__xludf.DUMMYFUNCTION("IF(V544&lt;&gt;"""", GOOGLETRANSLATE(V544, ""RO"", ""EN""), """")"),"")</f>
        <v/>
      </c>
      <c r="J544" s="5" t="str">
        <f>IFERROR(__xludf.DUMMYFUNCTION("IF(W544&lt;&gt;"""", GOOGLETRANSLATE(W544, ""RO"", ""EN""), """")"),"")</f>
        <v/>
      </c>
      <c r="K544" s="5" t="str">
        <f>IFERROR(__xludf.DUMMYFUNCTION("IF(X544&lt;&gt;"""", GOOGLETRANSLATE(X544, ""RO"", ""EN""), """")"),"Nc")</f>
        <v>Nc</v>
      </c>
      <c r="L544" s="5" t="str">
        <f>IFERROR(__xludf.DUMMYFUNCTION("IF(S544&lt;&gt;"""", GOOGLETRANSLATE(S544, ""RO"", ""EN""), """")"),"Ns")</f>
        <v>Ns</v>
      </c>
      <c r="M544" s="5" t="str">
        <f>IFERROR(__xludf.DUMMYFUNCTION("IF(T544&lt;&gt;"""", GOOGLETRANSLATE(T544, ""RO"", ""EN""), """")"),"No.")</f>
        <v>No.</v>
      </c>
      <c r="N544" s="5" t="str">
        <f>IFERROR(__xludf.DUMMYFUNCTION("IF(Y544&lt;&gt;"""", GOOGLETRANSLATE(Y544, ""RO"", ""EN""), """")"),"")</f>
        <v/>
      </c>
      <c r="P544" s="4" t="s">
        <v>639</v>
      </c>
      <c r="Q544" s="4" t="s">
        <v>640</v>
      </c>
      <c r="S544" s="4" t="s">
        <v>103</v>
      </c>
      <c r="T544" s="4" t="s">
        <v>104</v>
      </c>
      <c r="X544" s="4" t="s">
        <v>177</v>
      </c>
    </row>
    <row r="545" ht="15.75" customHeight="1">
      <c r="A545" s="4" t="s">
        <v>1571</v>
      </c>
      <c r="B545" s="4" t="s">
        <v>1564</v>
      </c>
      <c r="C545" s="4" t="str">
        <f>IFERROR(__xludf.DUMMYFUNCTION("GOOGLETRANSLATE(B545, ""RO"", ""EN"")"),"… Did you change your option for the 2-election tour?")</f>
        <v>… Did you change your option for the 2-election tour?</v>
      </c>
      <c r="D545" s="5" t="str">
        <f>IFERROR(__xludf.DUMMYFUNCTION("IF(O545&lt;&gt;"""", GOOGLETRANSLATE(O545, ""RO"", ""EN""), """")"),"")</f>
        <v/>
      </c>
      <c r="E545" s="6" t="str">
        <f>IFERROR(__xludf.DUMMYFUNCTION("IF(P545&lt;&gt;"""", GOOGLETRANSLATE(P545, ""RO"", ""EN""), """")"),"Yes")</f>
        <v>Yes</v>
      </c>
      <c r="F545" s="5" t="str">
        <f>IFERROR(__xludf.DUMMYFUNCTION("IF(Q545&lt;&gt;"""", GOOGLETRANSLATE(Q545, ""RO"", ""EN""), """")"),"Not")</f>
        <v>Not</v>
      </c>
      <c r="G545" s="5" t="str">
        <f>IFERROR(__xludf.DUMMYFUNCTION("IF(R545&lt;&gt;"""", GOOGLETRANSLATE(R545, ""RO"", ""EN""), """")"),"")</f>
        <v/>
      </c>
      <c r="H545" s="5" t="str">
        <f>IFERROR(__xludf.DUMMYFUNCTION("IF(U545&lt;&gt;"""", GOOGLETRANSLATE(U545, ""RO"", ""EN""), """")"),"")</f>
        <v/>
      </c>
      <c r="I545" s="5" t="str">
        <f>IFERROR(__xludf.DUMMYFUNCTION("IF(V545&lt;&gt;"""", GOOGLETRANSLATE(V545, ""RO"", ""EN""), """")"),"")</f>
        <v/>
      </c>
      <c r="J545" s="5" t="str">
        <f>IFERROR(__xludf.DUMMYFUNCTION("IF(W545&lt;&gt;"""", GOOGLETRANSLATE(W545, ""RO"", ""EN""), """")"),"")</f>
        <v/>
      </c>
      <c r="K545" s="5" t="str">
        <f>IFERROR(__xludf.DUMMYFUNCTION("IF(X545&lt;&gt;"""", GOOGLETRANSLATE(X545, ""RO"", ""EN""), """")"),"Nc")</f>
        <v>Nc</v>
      </c>
      <c r="L545" s="5" t="str">
        <f>IFERROR(__xludf.DUMMYFUNCTION("IF(S545&lt;&gt;"""", GOOGLETRANSLATE(S545, ""RO"", ""EN""), """")"),"Ns")</f>
        <v>Ns</v>
      </c>
      <c r="M545" s="5" t="str">
        <f>IFERROR(__xludf.DUMMYFUNCTION("IF(T545&lt;&gt;"""", GOOGLETRANSLATE(T545, ""RO"", ""EN""), """")"),"No.")</f>
        <v>No.</v>
      </c>
      <c r="N545" s="5" t="str">
        <f>IFERROR(__xludf.DUMMYFUNCTION("IF(Y545&lt;&gt;"""", GOOGLETRANSLATE(Y545, ""RO"", ""EN""), """")"),"")</f>
        <v/>
      </c>
      <c r="P545" s="4" t="s">
        <v>639</v>
      </c>
      <c r="Q545" s="4" t="s">
        <v>640</v>
      </c>
      <c r="S545" s="4" t="s">
        <v>103</v>
      </c>
      <c r="T545" s="4" t="s">
        <v>104</v>
      </c>
      <c r="X545" s="4" t="s">
        <v>177</v>
      </c>
    </row>
    <row r="546" ht="15.75" customHeight="1">
      <c r="A546" s="4" t="s">
        <v>1572</v>
      </c>
      <c r="B546" s="4" t="s">
        <v>1573</v>
      </c>
      <c r="C546" s="4" t="str">
        <f>IFERROR(__xludf.DUMMYFUNCTION("GOOGLETRANSLATE(B546, ""RO"", ""EN"")"),"Between the two election tours Traian Basescu was accused of hitting a child during a 2004 election meeting, based on a movie made on this occasion. Traian Basescu claims that the film is tricked. You have heard so far of this")</f>
        <v>Between the two election tours Traian Basescu was accused of hitting a child during a 2004 election meeting, based on a movie made on this occasion. Traian Basescu claims that the film is tricked. You have heard so far of this</v>
      </c>
      <c r="D546" s="5" t="str">
        <f>IFERROR(__xludf.DUMMYFUNCTION("IF(O546&lt;&gt;"""", GOOGLETRANSLATE(O546, ""RO"", ""EN""), """")"),"")</f>
        <v/>
      </c>
      <c r="E546" s="6" t="str">
        <f>IFERROR(__xludf.DUMMYFUNCTION("IF(P546&lt;&gt;"""", GOOGLETRANSLATE(P546, ""RO"", ""EN""), """")"),"I heard")</f>
        <v>I heard</v>
      </c>
      <c r="F546" s="5" t="str">
        <f>IFERROR(__xludf.DUMMYFUNCTION("IF(Q546&lt;&gt;"""", GOOGLETRANSLATE(Q546, ""RO"", ""EN""), """")"),"I have not heard")</f>
        <v>I have not heard</v>
      </c>
      <c r="G546" s="5" t="str">
        <f>IFERROR(__xludf.DUMMYFUNCTION("IF(R546&lt;&gt;"""", GOOGLETRANSLATE(R546, ""RO"", ""EN""), """")"),"")</f>
        <v/>
      </c>
      <c r="H546" s="5" t="str">
        <f>IFERROR(__xludf.DUMMYFUNCTION("IF(U546&lt;&gt;"""", GOOGLETRANSLATE(U546, ""RO"", ""EN""), """")"),"")</f>
        <v/>
      </c>
      <c r="I546" s="5" t="str">
        <f>IFERROR(__xludf.DUMMYFUNCTION("IF(V546&lt;&gt;"""", GOOGLETRANSLATE(V546, ""RO"", ""EN""), """")"),"")</f>
        <v/>
      </c>
      <c r="J546" s="5" t="str">
        <f>IFERROR(__xludf.DUMMYFUNCTION("IF(W546&lt;&gt;"""", GOOGLETRANSLATE(W546, ""RO"", ""EN""), """")"),"")</f>
        <v/>
      </c>
      <c r="K546" s="5" t="str">
        <f>IFERROR(__xludf.DUMMYFUNCTION("IF(X546&lt;&gt;"""", GOOGLETRANSLATE(X546, ""RO"", ""EN""), """")"),"")</f>
        <v/>
      </c>
      <c r="L546" s="5" t="str">
        <f>IFERROR(__xludf.DUMMYFUNCTION("IF(S546&lt;&gt;"""", GOOGLETRANSLATE(S546, ""RO"", ""EN""), """")"),"Ns")</f>
        <v>Ns</v>
      </c>
      <c r="M546" s="5" t="str">
        <f>IFERROR(__xludf.DUMMYFUNCTION("IF(T546&lt;&gt;"""", GOOGLETRANSLATE(T546, ""RO"", ""EN""), """")"),"No.")</f>
        <v>No.</v>
      </c>
      <c r="N546" s="5" t="str">
        <f>IFERROR(__xludf.DUMMYFUNCTION("IF(Y546&lt;&gt;"""", GOOGLETRANSLATE(Y546, ""RO"", ""EN""), """")"),"")</f>
        <v/>
      </c>
      <c r="P546" s="4" t="s">
        <v>1560</v>
      </c>
      <c r="Q546" s="4" t="s">
        <v>1349</v>
      </c>
      <c r="S546" s="4" t="s">
        <v>103</v>
      </c>
      <c r="T546" s="4" t="s">
        <v>104</v>
      </c>
    </row>
    <row r="547" ht="15.75" customHeight="1">
      <c r="A547" s="4" t="s">
        <v>1574</v>
      </c>
      <c r="B547" s="4" t="s">
        <v>1575</v>
      </c>
      <c r="C547" s="4" t="str">
        <f>IFERROR(__xludf.DUMMYFUNCTION("GOOGLETRANSLATE(B547, ""RO"", ""EN"")"),"Have you seen the accusatory movie or not?")</f>
        <v>Have you seen the accusatory movie or not?</v>
      </c>
      <c r="D547" s="5" t="str">
        <f>IFERROR(__xludf.DUMMYFUNCTION("IF(O547&lt;&gt;"""", GOOGLETRANSLATE(O547, ""RO"", ""EN""), """")"),"")</f>
        <v/>
      </c>
      <c r="E547" s="6" t="str">
        <f>IFERROR(__xludf.DUMMYFUNCTION("IF(P547&lt;&gt;"""", GOOGLETRANSLATE(P547, ""RO"", ""EN""), """")"),"I saw him")</f>
        <v>I saw him</v>
      </c>
      <c r="F547" s="5" t="str">
        <f>IFERROR(__xludf.DUMMYFUNCTION("IF(Q547&lt;&gt;"""", GOOGLETRANSLATE(Q547, ""RO"", ""EN""), """")"),"I did not see him")</f>
        <v>I did not see him</v>
      </c>
      <c r="G547" s="5" t="str">
        <f>IFERROR(__xludf.DUMMYFUNCTION("IF(R547&lt;&gt;"""", GOOGLETRANSLATE(R547, ""RO"", ""EN""), """")"),"")</f>
        <v/>
      </c>
      <c r="H547" s="5" t="str">
        <f>IFERROR(__xludf.DUMMYFUNCTION("IF(U547&lt;&gt;"""", GOOGLETRANSLATE(U547, ""RO"", ""EN""), """")"),"")</f>
        <v/>
      </c>
      <c r="I547" s="5" t="str">
        <f>IFERROR(__xludf.DUMMYFUNCTION("IF(V547&lt;&gt;"""", GOOGLETRANSLATE(V547, ""RO"", ""EN""), """")"),"")</f>
        <v/>
      </c>
      <c r="J547" s="5" t="str">
        <f>IFERROR(__xludf.DUMMYFUNCTION("IF(W547&lt;&gt;"""", GOOGLETRANSLATE(W547, ""RO"", ""EN""), """")"),"")</f>
        <v/>
      </c>
      <c r="K547" s="5" t="str">
        <f>IFERROR(__xludf.DUMMYFUNCTION("IF(X547&lt;&gt;"""", GOOGLETRANSLATE(X547, ""RO"", ""EN""), """")"),"")</f>
        <v/>
      </c>
      <c r="L547" s="5" t="str">
        <f>IFERROR(__xludf.DUMMYFUNCTION("IF(S547&lt;&gt;"""", GOOGLETRANSLATE(S547, ""RO"", ""EN""), """")"),"Ns")</f>
        <v>Ns</v>
      </c>
      <c r="M547" s="5" t="str">
        <f>IFERROR(__xludf.DUMMYFUNCTION("IF(T547&lt;&gt;"""", GOOGLETRANSLATE(T547, ""RO"", ""EN""), """")"),"No.")</f>
        <v>No.</v>
      </c>
      <c r="N547" s="5" t="str">
        <f>IFERROR(__xludf.DUMMYFUNCTION("IF(Y547&lt;&gt;"""", GOOGLETRANSLATE(Y547, ""RO"", ""EN""), """")"),"")</f>
        <v/>
      </c>
      <c r="P547" s="4" t="s">
        <v>1576</v>
      </c>
      <c r="Q547" s="4" t="s">
        <v>1577</v>
      </c>
      <c r="S547" s="4" t="s">
        <v>103</v>
      </c>
      <c r="T547" s="4" t="s">
        <v>104</v>
      </c>
    </row>
    <row r="548" ht="15.75" customHeight="1">
      <c r="A548" s="4" t="s">
        <v>1578</v>
      </c>
      <c r="B548" s="4" t="s">
        <v>1579</v>
      </c>
      <c r="C548" s="4" t="str">
        <f>IFERROR(__xludf.DUMMYFUNCTION("GOOGLETRANSLATE(B548, ""RO"", ""EN"")"),"Do you think the movie is tricked or authentic?")</f>
        <v>Do you think the movie is tricked or authentic?</v>
      </c>
      <c r="D548" s="5" t="str">
        <f>IFERROR(__xludf.DUMMYFUNCTION("IF(O548&lt;&gt;"""", GOOGLETRANSLATE(O548, ""RO"", ""EN""), """")"),"")</f>
        <v/>
      </c>
      <c r="E548" s="6" t="str">
        <f>IFERROR(__xludf.DUMMYFUNCTION("IF(P548&lt;&gt;"""", GOOGLETRANSLATE(P548, ""RO"", ""EN""), """")"),"Is tricked")</f>
        <v>Is tricked</v>
      </c>
      <c r="F548" s="5" t="str">
        <f>IFERROR(__xludf.DUMMYFUNCTION("IF(Q548&lt;&gt;"""", GOOGLETRANSLATE(Q548, ""RO"", ""EN""), """")"),"It is authentic")</f>
        <v>It is authentic</v>
      </c>
      <c r="G548" s="5" t="str">
        <f>IFERROR(__xludf.DUMMYFUNCTION("IF(R548&lt;&gt;"""", GOOGLETRANSLATE(R548, ""RO"", ""EN""), """")"),"")</f>
        <v/>
      </c>
      <c r="H548" s="5" t="str">
        <f>IFERROR(__xludf.DUMMYFUNCTION("IF(U548&lt;&gt;"""", GOOGLETRANSLATE(U548, ""RO"", ""EN""), """")"),"")</f>
        <v/>
      </c>
      <c r="I548" s="5" t="str">
        <f>IFERROR(__xludf.DUMMYFUNCTION("IF(V548&lt;&gt;"""", GOOGLETRANSLATE(V548, ""RO"", ""EN""), """")"),"")</f>
        <v/>
      </c>
      <c r="J548" s="5" t="str">
        <f>IFERROR(__xludf.DUMMYFUNCTION("IF(W548&lt;&gt;"""", GOOGLETRANSLATE(W548, ""RO"", ""EN""), """")"),"")</f>
        <v/>
      </c>
      <c r="K548" s="5" t="str">
        <f>IFERROR(__xludf.DUMMYFUNCTION("IF(X548&lt;&gt;"""", GOOGLETRANSLATE(X548, ""RO"", ""EN""), """")"),"")</f>
        <v/>
      </c>
      <c r="L548" s="5" t="str">
        <f>IFERROR(__xludf.DUMMYFUNCTION("IF(S548&lt;&gt;"""", GOOGLETRANSLATE(S548, ""RO"", ""EN""), """")"),"Ns")</f>
        <v>Ns</v>
      </c>
      <c r="M548" s="5" t="str">
        <f>IFERROR(__xludf.DUMMYFUNCTION("IF(T548&lt;&gt;"""", GOOGLETRANSLATE(T548, ""RO"", ""EN""), """")"),"No.")</f>
        <v>No.</v>
      </c>
      <c r="N548" s="5" t="str">
        <f>IFERROR(__xludf.DUMMYFUNCTION("IF(Y548&lt;&gt;"""", GOOGLETRANSLATE(Y548, ""RO"", ""EN""), """")"),"")</f>
        <v/>
      </c>
      <c r="P548" s="4" t="s">
        <v>1580</v>
      </c>
      <c r="Q548" s="4" t="s">
        <v>1581</v>
      </c>
      <c r="S548" s="4" t="s">
        <v>103</v>
      </c>
      <c r="T548" s="4" t="s">
        <v>104</v>
      </c>
    </row>
    <row r="549" ht="15.75" customHeight="1">
      <c r="A549" s="4" t="s">
        <v>1582</v>
      </c>
      <c r="B549" s="4" t="s">
        <v>1583</v>
      </c>
      <c r="C549" s="4" t="str">
        <f>IFERROR(__xludf.DUMMYFUNCTION("GOOGLETRANSLATE(B549, ""RO"", ""EN"")"),"The accusations against Traian Basescu ... have you changed the decision to participate or not in the vote 2 of the elections?")</f>
        <v>The accusations against Traian Basescu ... have you changed the decision to participate or not in the vote 2 of the elections?</v>
      </c>
      <c r="D549" s="5" t="str">
        <f>IFERROR(__xludf.DUMMYFUNCTION("IF(O549&lt;&gt;"""", GOOGLETRANSLATE(O549, ""RO"", ""EN""), """")"),"")</f>
        <v/>
      </c>
      <c r="E549" s="6" t="str">
        <f>IFERROR(__xludf.DUMMYFUNCTION("IF(P549&lt;&gt;"""", GOOGLETRANSLATE(P549, ""RO"", ""EN""), """")"),"Yes")</f>
        <v>Yes</v>
      </c>
      <c r="F549" s="5" t="str">
        <f>IFERROR(__xludf.DUMMYFUNCTION("IF(Q549&lt;&gt;"""", GOOGLETRANSLATE(Q549, ""RO"", ""EN""), """")"),"Not")</f>
        <v>Not</v>
      </c>
      <c r="G549" s="5" t="str">
        <f>IFERROR(__xludf.DUMMYFUNCTION("IF(R549&lt;&gt;"""", GOOGLETRANSLATE(R549, ""RO"", ""EN""), """")"),"")</f>
        <v/>
      </c>
      <c r="H549" s="5" t="str">
        <f>IFERROR(__xludf.DUMMYFUNCTION("IF(U549&lt;&gt;"""", GOOGLETRANSLATE(U549, ""RO"", ""EN""), """")"),"")</f>
        <v/>
      </c>
      <c r="I549" s="5" t="str">
        <f>IFERROR(__xludf.DUMMYFUNCTION("IF(V549&lt;&gt;"""", GOOGLETRANSLATE(V549, ""RO"", ""EN""), """")"),"")</f>
        <v/>
      </c>
      <c r="J549" s="5" t="str">
        <f>IFERROR(__xludf.DUMMYFUNCTION("IF(W549&lt;&gt;"""", GOOGLETRANSLATE(W549, ""RO"", ""EN""), """")"),"")</f>
        <v/>
      </c>
      <c r="K549" s="5" t="str">
        <f>IFERROR(__xludf.DUMMYFUNCTION("IF(X549&lt;&gt;"""", GOOGLETRANSLATE(X549, ""RO"", ""EN""), """")"),"Nc")</f>
        <v>Nc</v>
      </c>
      <c r="L549" s="5" t="str">
        <f>IFERROR(__xludf.DUMMYFUNCTION("IF(S549&lt;&gt;"""", GOOGLETRANSLATE(S549, ""RO"", ""EN""), """")"),"Ns")</f>
        <v>Ns</v>
      </c>
      <c r="M549" s="5" t="str">
        <f>IFERROR(__xludf.DUMMYFUNCTION("IF(T549&lt;&gt;"""", GOOGLETRANSLATE(T549, ""RO"", ""EN""), """")"),"No.")</f>
        <v>No.</v>
      </c>
      <c r="N549" s="5" t="str">
        <f>IFERROR(__xludf.DUMMYFUNCTION("IF(Y549&lt;&gt;"""", GOOGLETRANSLATE(Y549, ""RO"", ""EN""), """")"),"")</f>
        <v/>
      </c>
      <c r="P549" s="4" t="s">
        <v>639</v>
      </c>
      <c r="Q549" s="4" t="s">
        <v>640</v>
      </c>
      <c r="S549" s="4" t="s">
        <v>103</v>
      </c>
      <c r="T549" s="4" t="s">
        <v>104</v>
      </c>
      <c r="X549" s="4" t="s">
        <v>177</v>
      </c>
    </row>
    <row r="550" ht="15.75" customHeight="1">
      <c r="A550" s="4" t="s">
        <v>1584</v>
      </c>
      <c r="B550" s="4" t="s">
        <v>1585</v>
      </c>
      <c r="C550" s="4" t="str">
        <f>IFERROR(__xludf.DUMMYFUNCTION("GOOGLETRANSLATE(B550, ""RO"", ""EN"")"),"... Did they change your option for the 2-election tour?")</f>
        <v>... Did they change your option for the 2-election tour?</v>
      </c>
      <c r="D550" s="5" t="str">
        <f>IFERROR(__xludf.DUMMYFUNCTION("IF(O550&lt;&gt;"""", GOOGLETRANSLATE(O550, ""RO"", ""EN""), """")"),"")</f>
        <v/>
      </c>
      <c r="E550" s="6" t="str">
        <f>IFERROR(__xludf.DUMMYFUNCTION("IF(P550&lt;&gt;"""", GOOGLETRANSLATE(P550, ""RO"", ""EN""), """")"),"Yes")</f>
        <v>Yes</v>
      </c>
      <c r="F550" s="5" t="str">
        <f>IFERROR(__xludf.DUMMYFUNCTION("IF(Q550&lt;&gt;"""", GOOGLETRANSLATE(Q550, ""RO"", ""EN""), """")"),"Not")</f>
        <v>Not</v>
      </c>
      <c r="G550" s="5" t="str">
        <f>IFERROR(__xludf.DUMMYFUNCTION("IF(R550&lt;&gt;"""", GOOGLETRANSLATE(R550, ""RO"", ""EN""), """")"),"")</f>
        <v/>
      </c>
      <c r="H550" s="5" t="str">
        <f>IFERROR(__xludf.DUMMYFUNCTION("IF(U550&lt;&gt;"""", GOOGLETRANSLATE(U550, ""RO"", ""EN""), """")"),"")</f>
        <v/>
      </c>
      <c r="I550" s="5" t="str">
        <f>IFERROR(__xludf.DUMMYFUNCTION("IF(V550&lt;&gt;"""", GOOGLETRANSLATE(V550, ""RO"", ""EN""), """")"),"")</f>
        <v/>
      </c>
      <c r="J550" s="5" t="str">
        <f>IFERROR(__xludf.DUMMYFUNCTION("IF(W550&lt;&gt;"""", GOOGLETRANSLATE(W550, ""RO"", ""EN""), """")"),"")</f>
        <v/>
      </c>
      <c r="K550" s="5" t="str">
        <f>IFERROR(__xludf.DUMMYFUNCTION("IF(X550&lt;&gt;"""", GOOGLETRANSLATE(X550, ""RO"", ""EN""), """")"),"Nc")</f>
        <v>Nc</v>
      </c>
      <c r="L550" s="5" t="str">
        <f>IFERROR(__xludf.DUMMYFUNCTION("IF(S550&lt;&gt;"""", GOOGLETRANSLATE(S550, ""RO"", ""EN""), """")"),"Ns")</f>
        <v>Ns</v>
      </c>
      <c r="M550" s="5" t="str">
        <f>IFERROR(__xludf.DUMMYFUNCTION("IF(T550&lt;&gt;"""", GOOGLETRANSLATE(T550, ""RO"", ""EN""), """")"),"No.")</f>
        <v>No.</v>
      </c>
      <c r="N550" s="5" t="str">
        <f>IFERROR(__xludf.DUMMYFUNCTION("IF(Y550&lt;&gt;"""", GOOGLETRANSLATE(Y550, ""RO"", ""EN""), """")"),"")</f>
        <v/>
      </c>
      <c r="P550" s="4" t="s">
        <v>639</v>
      </c>
      <c r="Q550" s="4" t="s">
        <v>640</v>
      </c>
      <c r="S550" s="4" t="s">
        <v>103</v>
      </c>
      <c r="T550" s="4" t="s">
        <v>104</v>
      </c>
      <c r="X550" s="4" t="s">
        <v>177</v>
      </c>
    </row>
    <row r="551" ht="15.75" customHeight="1">
      <c r="A551" s="4" t="s">
        <v>1586</v>
      </c>
      <c r="B551" s="4" t="s">
        <v>1587</v>
      </c>
      <c r="C551" s="4" t="str">
        <f>IFERROR(__xludf.DUMMYFUNCTION("GOOGLETRANSLATE(B551, ""RO"", ""EN"")"),"In a regular week, in each of the seven days of the week ...? Look at local television stations (including on the Internet)")</f>
        <v>In a regular week, in each of the seven days of the week ...? Look at local television stations (including on the Internet)</v>
      </c>
      <c r="D551" s="5" t="str">
        <f>IFERROR(__xludf.DUMMYFUNCTION("IF(O551&lt;&gt;"""", GOOGLETRANSLATE(O551, ""RO"", ""EN""), """")"),"Never")</f>
        <v>Never</v>
      </c>
      <c r="E551" s="6" t="str">
        <f>IFERROR(__xludf.DUMMYFUNCTION("IF(P551&lt;&gt;"""", GOOGLETRANSLATE(P551, ""RO"", ""EN""), """")"),"1")</f>
        <v>1</v>
      </c>
      <c r="F551" s="5" t="str">
        <f>IFERROR(__xludf.DUMMYFUNCTION("IF(Q551&lt;&gt;"""", GOOGLETRANSLATE(Q551, ""RO"", ""EN""), """")"),"2")</f>
        <v>2</v>
      </c>
      <c r="G551" s="5" t="str">
        <f>IFERROR(__xludf.DUMMYFUNCTION("IF(R551&lt;&gt;"""", GOOGLETRANSLATE(R551, ""RO"", ""EN""), """")"),"3")</f>
        <v>3</v>
      </c>
      <c r="H551" s="5" t="str">
        <f>IFERROR(__xludf.DUMMYFUNCTION("IF(U551&lt;&gt;"""", GOOGLETRANSLATE(U551, ""RO"", ""EN""), """")"),"4")</f>
        <v>4</v>
      </c>
      <c r="I551" s="5" t="str">
        <f>IFERROR(__xludf.DUMMYFUNCTION("IF(V551&lt;&gt;"""", GOOGLETRANSLATE(V551, ""RO"", ""EN""), """")"),"5")</f>
        <v>5</v>
      </c>
      <c r="J551" s="5" t="str">
        <f>IFERROR(__xludf.DUMMYFUNCTION("IF(W551&lt;&gt;"""", GOOGLETRANSLATE(W551, ""RO"", ""EN""), """")"),"6")</f>
        <v>6</v>
      </c>
      <c r="K551" s="5" t="str">
        <f>IFERROR(__xludf.DUMMYFUNCTION("IF(X551&lt;&gt;"""", GOOGLETRANSLATE(X551, ""RO"", ""EN""), """")"),"Daily")</f>
        <v>Daily</v>
      </c>
      <c r="L551" s="5" t="str">
        <f>IFERROR(__xludf.DUMMYFUNCTION("IF(S551&lt;&gt;"""", GOOGLETRANSLATE(S551, ""RO"", ""EN""), """")"),"")</f>
        <v/>
      </c>
      <c r="M551" s="5" t="str">
        <f>IFERROR(__xludf.DUMMYFUNCTION("IF(T551&lt;&gt;"""", GOOGLETRANSLATE(T551, ""RO"", ""EN""), """")"),"No.")</f>
        <v>No.</v>
      </c>
      <c r="N551" s="5" t="str">
        <f>IFERROR(__xludf.DUMMYFUNCTION("IF(Y551&lt;&gt;"""", GOOGLETRANSLATE(Y551, ""RO"", ""EN""), """")"),"")</f>
        <v/>
      </c>
      <c r="O551" s="4" t="s">
        <v>282</v>
      </c>
      <c r="P551" s="4" t="s">
        <v>168</v>
      </c>
      <c r="Q551" s="4" t="s">
        <v>169</v>
      </c>
      <c r="R551" s="4" t="s">
        <v>170</v>
      </c>
      <c r="T551" s="4" t="s">
        <v>104</v>
      </c>
      <c r="U551" s="4" t="s">
        <v>173</v>
      </c>
      <c r="V551" s="4" t="s">
        <v>174</v>
      </c>
      <c r="W551" s="4" t="s">
        <v>175</v>
      </c>
      <c r="X551" s="4" t="s">
        <v>838</v>
      </c>
    </row>
    <row r="552" ht="15.75" customHeight="1">
      <c r="A552" s="4" t="s">
        <v>1588</v>
      </c>
      <c r="B552" s="4" t="s">
        <v>1589</v>
      </c>
      <c r="C552" s="4" t="str">
        <f>IFERROR(__xludf.DUMMYFUNCTION("GOOGLETRANSLATE(B552, ""RO"", ""EN"")"),"... you look at national television stations (including on the Internet)")</f>
        <v>... you look at national television stations (including on the Internet)</v>
      </c>
      <c r="D552" s="5" t="str">
        <f>IFERROR(__xludf.DUMMYFUNCTION("IF(O552&lt;&gt;"""", GOOGLETRANSLATE(O552, ""RO"", ""EN""), """")"),"Never")</f>
        <v>Never</v>
      </c>
      <c r="E552" s="6" t="str">
        <f>IFERROR(__xludf.DUMMYFUNCTION("IF(P552&lt;&gt;"""", GOOGLETRANSLATE(P552, ""RO"", ""EN""), """")"),"1")</f>
        <v>1</v>
      </c>
      <c r="F552" s="5" t="str">
        <f>IFERROR(__xludf.DUMMYFUNCTION("IF(Q552&lt;&gt;"""", GOOGLETRANSLATE(Q552, ""RO"", ""EN""), """")"),"2")</f>
        <v>2</v>
      </c>
      <c r="G552" s="5" t="str">
        <f>IFERROR(__xludf.DUMMYFUNCTION("IF(R552&lt;&gt;"""", GOOGLETRANSLATE(R552, ""RO"", ""EN""), """")"),"3")</f>
        <v>3</v>
      </c>
      <c r="H552" s="5" t="str">
        <f>IFERROR(__xludf.DUMMYFUNCTION("IF(U552&lt;&gt;"""", GOOGLETRANSLATE(U552, ""RO"", ""EN""), """")"),"4")</f>
        <v>4</v>
      </c>
      <c r="I552" s="5" t="str">
        <f>IFERROR(__xludf.DUMMYFUNCTION("IF(V552&lt;&gt;"""", GOOGLETRANSLATE(V552, ""RO"", ""EN""), """")"),"5")</f>
        <v>5</v>
      </c>
      <c r="J552" s="5" t="str">
        <f>IFERROR(__xludf.DUMMYFUNCTION("IF(W552&lt;&gt;"""", GOOGLETRANSLATE(W552, ""RO"", ""EN""), """")"),"6")</f>
        <v>6</v>
      </c>
      <c r="K552" s="5" t="str">
        <f>IFERROR(__xludf.DUMMYFUNCTION("IF(X552&lt;&gt;"""", GOOGLETRANSLATE(X552, ""RO"", ""EN""), """")"),"Daily")</f>
        <v>Daily</v>
      </c>
      <c r="L552" s="5" t="str">
        <f>IFERROR(__xludf.DUMMYFUNCTION("IF(S552&lt;&gt;"""", GOOGLETRANSLATE(S552, ""RO"", ""EN""), """")"),"")</f>
        <v/>
      </c>
      <c r="M552" s="5" t="str">
        <f>IFERROR(__xludf.DUMMYFUNCTION("IF(T552&lt;&gt;"""", GOOGLETRANSLATE(T552, ""RO"", ""EN""), """")"),"No.")</f>
        <v>No.</v>
      </c>
      <c r="N552" s="5" t="str">
        <f>IFERROR(__xludf.DUMMYFUNCTION("IF(Y552&lt;&gt;"""", GOOGLETRANSLATE(Y552, ""RO"", ""EN""), """")"),"")</f>
        <v/>
      </c>
      <c r="O552" s="4" t="s">
        <v>282</v>
      </c>
      <c r="P552" s="4" t="s">
        <v>168</v>
      </c>
      <c r="Q552" s="4" t="s">
        <v>169</v>
      </c>
      <c r="R552" s="4" t="s">
        <v>170</v>
      </c>
      <c r="T552" s="4" t="s">
        <v>104</v>
      </c>
      <c r="U552" s="4" t="s">
        <v>173</v>
      </c>
      <c r="V552" s="4" t="s">
        <v>174</v>
      </c>
      <c r="W552" s="4" t="s">
        <v>175</v>
      </c>
      <c r="X552" s="4" t="s">
        <v>838</v>
      </c>
    </row>
    <row r="553" ht="15.75" customHeight="1">
      <c r="A553" s="4" t="s">
        <v>1590</v>
      </c>
      <c r="B553" s="4" t="s">
        <v>1591</v>
      </c>
      <c r="C553" s="4" t="str">
        <f>IFERROR(__xludf.DUMMYFUNCTION("GOOGLETRANSLATE(B553, ""RO"", ""EN"")"),"... listen to local radio stations (including on the Internet)")</f>
        <v>... listen to local radio stations (including on the Internet)</v>
      </c>
      <c r="D553" s="5" t="str">
        <f>IFERROR(__xludf.DUMMYFUNCTION("IF(O553&lt;&gt;"""", GOOGLETRANSLATE(O553, ""RO"", ""EN""), """")"),"Never")</f>
        <v>Never</v>
      </c>
      <c r="E553" s="6" t="str">
        <f>IFERROR(__xludf.DUMMYFUNCTION("IF(P553&lt;&gt;"""", GOOGLETRANSLATE(P553, ""RO"", ""EN""), """")"),"1")</f>
        <v>1</v>
      </c>
      <c r="F553" s="5" t="str">
        <f>IFERROR(__xludf.DUMMYFUNCTION("IF(Q553&lt;&gt;"""", GOOGLETRANSLATE(Q553, ""RO"", ""EN""), """")"),"2")</f>
        <v>2</v>
      </c>
      <c r="G553" s="5" t="str">
        <f>IFERROR(__xludf.DUMMYFUNCTION("IF(R553&lt;&gt;"""", GOOGLETRANSLATE(R553, ""RO"", ""EN""), """")"),"3")</f>
        <v>3</v>
      </c>
      <c r="H553" s="5" t="str">
        <f>IFERROR(__xludf.DUMMYFUNCTION("IF(U553&lt;&gt;"""", GOOGLETRANSLATE(U553, ""RO"", ""EN""), """")"),"4")</f>
        <v>4</v>
      </c>
      <c r="I553" s="5" t="str">
        <f>IFERROR(__xludf.DUMMYFUNCTION("IF(V553&lt;&gt;"""", GOOGLETRANSLATE(V553, ""RO"", ""EN""), """")"),"5")</f>
        <v>5</v>
      </c>
      <c r="J553" s="5" t="str">
        <f>IFERROR(__xludf.DUMMYFUNCTION("IF(W553&lt;&gt;"""", GOOGLETRANSLATE(W553, ""RO"", ""EN""), """")"),"6")</f>
        <v>6</v>
      </c>
      <c r="K553" s="5" t="str">
        <f>IFERROR(__xludf.DUMMYFUNCTION("IF(X553&lt;&gt;"""", GOOGLETRANSLATE(X553, ""RO"", ""EN""), """")"),"Daily")</f>
        <v>Daily</v>
      </c>
      <c r="L553" s="5" t="str">
        <f>IFERROR(__xludf.DUMMYFUNCTION("IF(S553&lt;&gt;"""", GOOGLETRANSLATE(S553, ""RO"", ""EN""), """")"),"")</f>
        <v/>
      </c>
      <c r="M553" s="5" t="str">
        <f>IFERROR(__xludf.DUMMYFUNCTION("IF(T553&lt;&gt;"""", GOOGLETRANSLATE(T553, ""RO"", ""EN""), """")"),"No.")</f>
        <v>No.</v>
      </c>
      <c r="N553" s="5" t="str">
        <f>IFERROR(__xludf.DUMMYFUNCTION("IF(Y553&lt;&gt;"""", GOOGLETRANSLATE(Y553, ""RO"", ""EN""), """")"),"")</f>
        <v/>
      </c>
      <c r="O553" s="4" t="s">
        <v>282</v>
      </c>
      <c r="P553" s="4" t="s">
        <v>168</v>
      </c>
      <c r="Q553" s="4" t="s">
        <v>169</v>
      </c>
      <c r="R553" s="4" t="s">
        <v>170</v>
      </c>
      <c r="T553" s="4" t="s">
        <v>104</v>
      </c>
      <c r="U553" s="4" t="s">
        <v>173</v>
      </c>
      <c r="V553" s="4" t="s">
        <v>174</v>
      </c>
      <c r="W553" s="4" t="s">
        <v>175</v>
      </c>
      <c r="X553" s="4" t="s">
        <v>838</v>
      </c>
    </row>
    <row r="554" ht="15.75" customHeight="1">
      <c r="A554" s="4" t="s">
        <v>1592</v>
      </c>
      <c r="B554" s="4" t="s">
        <v>1593</v>
      </c>
      <c r="C554" s="4" t="str">
        <f>IFERROR(__xludf.DUMMYFUNCTION("GOOGLETRANSLATE(B554, ""RO"", ""EN"")"),"... listen to national radio stations (including on the Internet)")</f>
        <v>... listen to national radio stations (including on the Internet)</v>
      </c>
      <c r="D554" s="5" t="str">
        <f>IFERROR(__xludf.DUMMYFUNCTION("IF(O554&lt;&gt;"""", GOOGLETRANSLATE(O554, ""RO"", ""EN""), """")"),"Never")</f>
        <v>Never</v>
      </c>
      <c r="E554" s="6" t="str">
        <f>IFERROR(__xludf.DUMMYFUNCTION("IF(P554&lt;&gt;"""", GOOGLETRANSLATE(P554, ""RO"", ""EN""), """")"),"1")</f>
        <v>1</v>
      </c>
      <c r="F554" s="5" t="str">
        <f>IFERROR(__xludf.DUMMYFUNCTION("IF(Q554&lt;&gt;"""", GOOGLETRANSLATE(Q554, ""RO"", ""EN""), """")"),"2")</f>
        <v>2</v>
      </c>
      <c r="G554" s="5" t="str">
        <f>IFERROR(__xludf.DUMMYFUNCTION("IF(R554&lt;&gt;"""", GOOGLETRANSLATE(R554, ""RO"", ""EN""), """")"),"3")</f>
        <v>3</v>
      </c>
      <c r="H554" s="5" t="str">
        <f>IFERROR(__xludf.DUMMYFUNCTION("IF(U554&lt;&gt;"""", GOOGLETRANSLATE(U554, ""RO"", ""EN""), """")"),"4")</f>
        <v>4</v>
      </c>
      <c r="I554" s="5" t="str">
        <f>IFERROR(__xludf.DUMMYFUNCTION("IF(V554&lt;&gt;"""", GOOGLETRANSLATE(V554, ""RO"", ""EN""), """")"),"5")</f>
        <v>5</v>
      </c>
      <c r="J554" s="5" t="str">
        <f>IFERROR(__xludf.DUMMYFUNCTION("IF(W554&lt;&gt;"""", GOOGLETRANSLATE(W554, ""RO"", ""EN""), """")"),"6")</f>
        <v>6</v>
      </c>
      <c r="K554" s="5" t="str">
        <f>IFERROR(__xludf.DUMMYFUNCTION("IF(X554&lt;&gt;"""", GOOGLETRANSLATE(X554, ""RO"", ""EN""), """")"),"Daily")</f>
        <v>Daily</v>
      </c>
      <c r="L554" s="5" t="str">
        <f>IFERROR(__xludf.DUMMYFUNCTION("IF(S554&lt;&gt;"""", GOOGLETRANSLATE(S554, ""RO"", ""EN""), """")"),"")</f>
        <v/>
      </c>
      <c r="M554" s="5" t="str">
        <f>IFERROR(__xludf.DUMMYFUNCTION("IF(T554&lt;&gt;"""", GOOGLETRANSLATE(T554, ""RO"", ""EN""), """")"),"No.")</f>
        <v>No.</v>
      </c>
      <c r="N554" s="5" t="str">
        <f>IFERROR(__xludf.DUMMYFUNCTION("IF(Y554&lt;&gt;"""", GOOGLETRANSLATE(Y554, ""RO"", ""EN""), """")"),"")</f>
        <v/>
      </c>
      <c r="O554" s="4" t="s">
        <v>282</v>
      </c>
      <c r="P554" s="4" t="s">
        <v>168</v>
      </c>
      <c r="Q554" s="4" t="s">
        <v>169</v>
      </c>
      <c r="R554" s="4" t="s">
        <v>170</v>
      </c>
      <c r="T554" s="4" t="s">
        <v>104</v>
      </c>
      <c r="U554" s="4" t="s">
        <v>173</v>
      </c>
      <c r="V554" s="4" t="s">
        <v>174</v>
      </c>
      <c r="W554" s="4" t="s">
        <v>175</v>
      </c>
      <c r="X554" s="4" t="s">
        <v>838</v>
      </c>
    </row>
    <row r="555" ht="15.75" customHeight="1">
      <c r="A555" s="4" t="s">
        <v>1594</v>
      </c>
      <c r="B555" s="4" t="s">
        <v>1595</v>
      </c>
      <c r="C555" s="4" t="str">
        <f>IFERROR(__xludf.DUMMYFUNCTION("GOOGLETRANSLATE(B555, ""RO"", ""EN"")"),"... read / browse local newspapers (including on the Internet)")</f>
        <v>... read / browse local newspapers (including on the Internet)</v>
      </c>
      <c r="D555" s="5" t="str">
        <f>IFERROR(__xludf.DUMMYFUNCTION("IF(O555&lt;&gt;"""", GOOGLETRANSLATE(O555, ""RO"", ""EN""), """")"),"Never")</f>
        <v>Never</v>
      </c>
      <c r="E555" s="6" t="str">
        <f>IFERROR(__xludf.DUMMYFUNCTION("IF(P555&lt;&gt;"""", GOOGLETRANSLATE(P555, ""RO"", ""EN""), """")"),"1")</f>
        <v>1</v>
      </c>
      <c r="F555" s="5" t="str">
        <f>IFERROR(__xludf.DUMMYFUNCTION("IF(Q555&lt;&gt;"""", GOOGLETRANSLATE(Q555, ""RO"", ""EN""), """")"),"2")</f>
        <v>2</v>
      </c>
      <c r="G555" s="5" t="str">
        <f>IFERROR(__xludf.DUMMYFUNCTION("IF(R555&lt;&gt;"""", GOOGLETRANSLATE(R555, ""RO"", ""EN""), """")"),"3")</f>
        <v>3</v>
      </c>
      <c r="H555" s="5" t="str">
        <f>IFERROR(__xludf.DUMMYFUNCTION("IF(U555&lt;&gt;"""", GOOGLETRANSLATE(U555, ""RO"", ""EN""), """")"),"4")</f>
        <v>4</v>
      </c>
      <c r="I555" s="5" t="str">
        <f>IFERROR(__xludf.DUMMYFUNCTION("IF(V555&lt;&gt;"""", GOOGLETRANSLATE(V555, ""RO"", ""EN""), """")"),"5")</f>
        <v>5</v>
      </c>
      <c r="J555" s="5" t="str">
        <f>IFERROR(__xludf.DUMMYFUNCTION("IF(W555&lt;&gt;"""", GOOGLETRANSLATE(W555, ""RO"", ""EN""), """")"),"6")</f>
        <v>6</v>
      </c>
      <c r="K555" s="5" t="str">
        <f>IFERROR(__xludf.DUMMYFUNCTION("IF(X555&lt;&gt;"""", GOOGLETRANSLATE(X555, ""RO"", ""EN""), """")"),"Daily")</f>
        <v>Daily</v>
      </c>
      <c r="L555" s="5" t="str">
        <f>IFERROR(__xludf.DUMMYFUNCTION("IF(S555&lt;&gt;"""", GOOGLETRANSLATE(S555, ""RO"", ""EN""), """")"),"")</f>
        <v/>
      </c>
      <c r="M555" s="5" t="str">
        <f>IFERROR(__xludf.DUMMYFUNCTION("IF(T555&lt;&gt;"""", GOOGLETRANSLATE(T555, ""RO"", ""EN""), """")"),"No.")</f>
        <v>No.</v>
      </c>
      <c r="N555" s="5" t="str">
        <f>IFERROR(__xludf.DUMMYFUNCTION("IF(Y555&lt;&gt;"""", GOOGLETRANSLATE(Y555, ""RO"", ""EN""), """")"),"")</f>
        <v/>
      </c>
      <c r="O555" s="4" t="s">
        <v>282</v>
      </c>
      <c r="P555" s="4" t="s">
        <v>168</v>
      </c>
      <c r="Q555" s="4" t="s">
        <v>169</v>
      </c>
      <c r="R555" s="4" t="s">
        <v>170</v>
      </c>
      <c r="T555" s="4" t="s">
        <v>104</v>
      </c>
      <c r="U555" s="4" t="s">
        <v>173</v>
      </c>
      <c r="V555" s="4" t="s">
        <v>174</v>
      </c>
      <c r="W555" s="4" t="s">
        <v>175</v>
      </c>
      <c r="X555" s="4" t="s">
        <v>838</v>
      </c>
    </row>
    <row r="556" ht="15.75" customHeight="1">
      <c r="A556" s="4" t="s">
        <v>1596</v>
      </c>
      <c r="B556" s="4" t="s">
        <v>1597</v>
      </c>
      <c r="C556" s="4" t="str">
        <f>IFERROR(__xludf.DUMMYFUNCTION("GOOGLETRANSLATE(B556, ""RO"", ""EN"")"),"... read / browse central newspapers (including on the Internet)")</f>
        <v>... read / browse central newspapers (including on the Internet)</v>
      </c>
      <c r="D556" s="5" t="str">
        <f>IFERROR(__xludf.DUMMYFUNCTION("IF(O556&lt;&gt;"""", GOOGLETRANSLATE(O556, ""RO"", ""EN""), """")"),"Never")</f>
        <v>Never</v>
      </c>
      <c r="E556" s="6" t="str">
        <f>IFERROR(__xludf.DUMMYFUNCTION("IF(P556&lt;&gt;"""", GOOGLETRANSLATE(P556, ""RO"", ""EN""), """")"),"1")</f>
        <v>1</v>
      </c>
      <c r="F556" s="5" t="str">
        <f>IFERROR(__xludf.DUMMYFUNCTION("IF(Q556&lt;&gt;"""", GOOGLETRANSLATE(Q556, ""RO"", ""EN""), """")"),"2")</f>
        <v>2</v>
      </c>
      <c r="G556" s="5" t="str">
        <f>IFERROR(__xludf.DUMMYFUNCTION("IF(R556&lt;&gt;"""", GOOGLETRANSLATE(R556, ""RO"", ""EN""), """")"),"3")</f>
        <v>3</v>
      </c>
      <c r="H556" s="5" t="str">
        <f>IFERROR(__xludf.DUMMYFUNCTION("IF(U556&lt;&gt;"""", GOOGLETRANSLATE(U556, ""RO"", ""EN""), """")"),"4")</f>
        <v>4</v>
      </c>
      <c r="I556" s="5" t="str">
        <f>IFERROR(__xludf.DUMMYFUNCTION("IF(V556&lt;&gt;"""", GOOGLETRANSLATE(V556, ""RO"", ""EN""), """")"),"5")</f>
        <v>5</v>
      </c>
      <c r="J556" s="5" t="str">
        <f>IFERROR(__xludf.DUMMYFUNCTION("IF(W556&lt;&gt;"""", GOOGLETRANSLATE(W556, ""RO"", ""EN""), """")"),"6")</f>
        <v>6</v>
      </c>
      <c r="K556" s="5" t="str">
        <f>IFERROR(__xludf.DUMMYFUNCTION("IF(X556&lt;&gt;"""", GOOGLETRANSLATE(X556, ""RO"", ""EN""), """")"),"Daily")</f>
        <v>Daily</v>
      </c>
      <c r="L556" s="5" t="str">
        <f>IFERROR(__xludf.DUMMYFUNCTION("IF(S556&lt;&gt;"""", GOOGLETRANSLATE(S556, ""RO"", ""EN""), """")"),"")</f>
        <v/>
      </c>
      <c r="M556" s="5" t="str">
        <f>IFERROR(__xludf.DUMMYFUNCTION("IF(T556&lt;&gt;"""", GOOGLETRANSLATE(T556, ""RO"", ""EN""), """")"),"No.")</f>
        <v>No.</v>
      </c>
      <c r="N556" s="5" t="str">
        <f>IFERROR(__xludf.DUMMYFUNCTION("IF(Y556&lt;&gt;"""", GOOGLETRANSLATE(Y556, ""RO"", ""EN""), """")"),"")</f>
        <v/>
      </c>
      <c r="O556" s="4" t="s">
        <v>282</v>
      </c>
      <c r="P556" s="4" t="s">
        <v>168</v>
      </c>
      <c r="Q556" s="4" t="s">
        <v>169</v>
      </c>
      <c r="R556" s="4" t="s">
        <v>170</v>
      </c>
      <c r="T556" s="4" t="s">
        <v>104</v>
      </c>
      <c r="U556" s="4" t="s">
        <v>173</v>
      </c>
      <c r="V556" s="4" t="s">
        <v>174</v>
      </c>
      <c r="W556" s="4" t="s">
        <v>175</v>
      </c>
      <c r="X556" s="4" t="s">
        <v>838</v>
      </c>
    </row>
    <row r="557" ht="15.75" customHeight="1">
      <c r="A557" s="4" t="s">
        <v>1598</v>
      </c>
      <c r="B557" s="4" t="s">
        <v>1599</v>
      </c>
      <c r="C557" s="4" t="str">
        <f>IFERROR(__xludf.DUMMYFUNCTION("GOOGLETRANSLATE(B557, ""RO"", ""EN"")"),"... Read News Internet Pages")</f>
        <v>... Read News Internet Pages</v>
      </c>
      <c r="D557" s="5" t="str">
        <f>IFERROR(__xludf.DUMMYFUNCTION("IF(O557&lt;&gt;"""", GOOGLETRANSLATE(O557, ""RO"", ""EN""), """")"),"Never")</f>
        <v>Never</v>
      </c>
      <c r="E557" s="6" t="str">
        <f>IFERROR(__xludf.DUMMYFUNCTION("IF(P557&lt;&gt;"""", GOOGLETRANSLATE(P557, ""RO"", ""EN""), """")"),"1")</f>
        <v>1</v>
      </c>
      <c r="F557" s="5" t="str">
        <f>IFERROR(__xludf.DUMMYFUNCTION("IF(Q557&lt;&gt;"""", GOOGLETRANSLATE(Q557, ""RO"", ""EN""), """")"),"2")</f>
        <v>2</v>
      </c>
      <c r="G557" s="5" t="str">
        <f>IFERROR(__xludf.DUMMYFUNCTION("IF(R557&lt;&gt;"""", GOOGLETRANSLATE(R557, ""RO"", ""EN""), """")"),"3")</f>
        <v>3</v>
      </c>
      <c r="H557" s="5" t="str">
        <f>IFERROR(__xludf.DUMMYFUNCTION("IF(U557&lt;&gt;"""", GOOGLETRANSLATE(U557, ""RO"", ""EN""), """")"),"4")</f>
        <v>4</v>
      </c>
      <c r="I557" s="5" t="str">
        <f>IFERROR(__xludf.DUMMYFUNCTION("IF(V557&lt;&gt;"""", GOOGLETRANSLATE(V557, ""RO"", ""EN""), """")"),"5")</f>
        <v>5</v>
      </c>
      <c r="J557" s="5" t="str">
        <f>IFERROR(__xludf.DUMMYFUNCTION("IF(W557&lt;&gt;"""", GOOGLETRANSLATE(W557, ""RO"", ""EN""), """")"),"6")</f>
        <v>6</v>
      </c>
      <c r="K557" s="5" t="str">
        <f>IFERROR(__xludf.DUMMYFUNCTION("IF(X557&lt;&gt;"""", GOOGLETRANSLATE(X557, ""RO"", ""EN""), """")"),"Daily")</f>
        <v>Daily</v>
      </c>
      <c r="L557" s="5" t="str">
        <f>IFERROR(__xludf.DUMMYFUNCTION("IF(S557&lt;&gt;"""", GOOGLETRANSLATE(S557, ""RO"", ""EN""), """")"),"")</f>
        <v/>
      </c>
      <c r="M557" s="5" t="str">
        <f>IFERROR(__xludf.DUMMYFUNCTION("IF(T557&lt;&gt;"""", GOOGLETRANSLATE(T557, ""RO"", ""EN""), """")"),"No.")</f>
        <v>No.</v>
      </c>
      <c r="N557" s="5" t="str">
        <f>IFERROR(__xludf.DUMMYFUNCTION("IF(Y557&lt;&gt;"""", GOOGLETRANSLATE(Y557, ""RO"", ""EN""), """")"),"")</f>
        <v/>
      </c>
      <c r="O557" s="4" t="s">
        <v>282</v>
      </c>
      <c r="P557" s="4" t="s">
        <v>168</v>
      </c>
      <c r="Q557" s="4" t="s">
        <v>169</v>
      </c>
      <c r="R557" s="4" t="s">
        <v>170</v>
      </c>
      <c r="T557" s="4" t="s">
        <v>104</v>
      </c>
      <c r="U557" s="4" t="s">
        <v>173</v>
      </c>
      <c r="V557" s="4" t="s">
        <v>174</v>
      </c>
      <c r="W557" s="4" t="s">
        <v>175</v>
      </c>
      <c r="X557" s="4" t="s">
        <v>838</v>
      </c>
    </row>
    <row r="558" ht="15.75" customHeight="1">
      <c r="A558" s="4" t="s">
        <v>1600</v>
      </c>
      <c r="B558" s="4" t="s">
        <v>1601</v>
      </c>
      <c r="C558" s="4" t="str">
        <f>IFERROR(__xludf.DUMMYFUNCTION("GOOGLETRANSLATE(B558, ""RO"", ""EN"")"),"In a regular week, in the seven days of the week you look at a news program from ...? TVR 1")</f>
        <v>In a regular week, in the seven days of the week you look at a news program from ...? TVR 1</v>
      </c>
      <c r="D558" s="5" t="str">
        <f>IFERROR(__xludf.DUMMYFUNCTION("IF(O558&lt;&gt;"""", GOOGLETRANSLATE(O558, ""RO"", ""EN""), """")"),"Never")</f>
        <v>Never</v>
      </c>
      <c r="E558" s="6" t="str">
        <f>IFERROR(__xludf.DUMMYFUNCTION("IF(P558&lt;&gt;"""", GOOGLETRANSLATE(P558, ""RO"", ""EN""), """")"),"1")</f>
        <v>1</v>
      </c>
      <c r="F558" s="5" t="str">
        <f>IFERROR(__xludf.DUMMYFUNCTION("IF(Q558&lt;&gt;"""", GOOGLETRANSLATE(Q558, ""RO"", ""EN""), """")"),"2")</f>
        <v>2</v>
      </c>
      <c r="G558" s="5" t="str">
        <f>IFERROR(__xludf.DUMMYFUNCTION("IF(R558&lt;&gt;"""", GOOGLETRANSLATE(R558, ""RO"", ""EN""), """")"),"3")</f>
        <v>3</v>
      </c>
      <c r="H558" s="5" t="str">
        <f>IFERROR(__xludf.DUMMYFUNCTION("IF(U558&lt;&gt;"""", GOOGLETRANSLATE(U558, ""RO"", ""EN""), """")"),"4")</f>
        <v>4</v>
      </c>
      <c r="I558" s="5" t="str">
        <f>IFERROR(__xludf.DUMMYFUNCTION("IF(V558&lt;&gt;"""", GOOGLETRANSLATE(V558, ""RO"", ""EN""), """")"),"5")</f>
        <v>5</v>
      </c>
      <c r="J558" s="5" t="str">
        <f>IFERROR(__xludf.DUMMYFUNCTION("IF(W558&lt;&gt;"""", GOOGLETRANSLATE(W558, ""RO"", ""EN""), """")"),"6")</f>
        <v>6</v>
      </c>
      <c r="K558" s="5" t="str">
        <f>IFERROR(__xludf.DUMMYFUNCTION("IF(X558&lt;&gt;"""", GOOGLETRANSLATE(X558, ""RO"", ""EN""), """")"),"Daily")</f>
        <v>Daily</v>
      </c>
      <c r="L558" s="5" t="str">
        <f>IFERROR(__xludf.DUMMYFUNCTION("IF(S558&lt;&gt;"""", GOOGLETRANSLATE(S558, ""RO"", ""EN""), """")"),"")</f>
        <v/>
      </c>
      <c r="M558" s="5" t="str">
        <f>IFERROR(__xludf.DUMMYFUNCTION("IF(T558&lt;&gt;"""", GOOGLETRANSLATE(T558, ""RO"", ""EN""), """")"),"No.")</f>
        <v>No.</v>
      </c>
      <c r="N558" s="5" t="str">
        <f>IFERROR(__xludf.DUMMYFUNCTION("IF(Y558&lt;&gt;"""", GOOGLETRANSLATE(Y558, ""RO"", ""EN""), """")"),"")</f>
        <v/>
      </c>
      <c r="O558" s="4" t="s">
        <v>282</v>
      </c>
      <c r="P558" s="4" t="s">
        <v>168</v>
      </c>
      <c r="Q558" s="4" t="s">
        <v>169</v>
      </c>
      <c r="R558" s="4" t="s">
        <v>170</v>
      </c>
      <c r="T558" s="4" t="s">
        <v>104</v>
      </c>
      <c r="U558" s="4" t="s">
        <v>173</v>
      </c>
      <c r="V558" s="4" t="s">
        <v>174</v>
      </c>
      <c r="W558" s="4" t="s">
        <v>175</v>
      </c>
      <c r="X558" s="4" t="s">
        <v>838</v>
      </c>
    </row>
    <row r="559" ht="15.75" customHeight="1">
      <c r="A559" s="4" t="s">
        <v>1602</v>
      </c>
      <c r="B559" s="4" t="s">
        <v>1603</v>
      </c>
      <c r="C559" s="4" t="str">
        <f>IFERROR(__xludf.DUMMYFUNCTION("GOOGLETRANSLATE(B559, ""RO"", ""EN"")"),"ProTv")</f>
        <v>ProTv</v>
      </c>
      <c r="D559" s="5" t="str">
        <f>IFERROR(__xludf.DUMMYFUNCTION("IF(O559&lt;&gt;"""", GOOGLETRANSLATE(O559, ""RO"", ""EN""), """")"),"Never")</f>
        <v>Never</v>
      </c>
      <c r="E559" s="6" t="str">
        <f>IFERROR(__xludf.DUMMYFUNCTION("IF(P559&lt;&gt;"""", GOOGLETRANSLATE(P559, ""RO"", ""EN""), """")"),"1")</f>
        <v>1</v>
      </c>
      <c r="F559" s="5" t="str">
        <f>IFERROR(__xludf.DUMMYFUNCTION("IF(Q559&lt;&gt;"""", GOOGLETRANSLATE(Q559, ""RO"", ""EN""), """")"),"2")</f>
        <v>2</v>
      </c>
      <c r="G559" s="5" t="str">
        <f>IFERROR(__xludf.DUMMYFUNCTION("IF(R559&lt;&gt;"""", GOOGLETRANSLATE(R559, ""RO"", ""EN""), """")"),"3")</f>
        <v>3</v>
      </c>
      <c r="H559" s="5" t="str">
        <f>IFERROR(__xludf.DUMMYFUNCTION("IF(U559&lt;&gt;"""", GOOGLETRANSLATE(U559, ""RO"", ""EN""), """")"),"4")</f>
        <v>4</v>
      </c>
      <c r="I559" s="5" t="str">
        <f>IFERROR(__xludf.DUMMYFUNCTION("IF(V559&lt;&gt;"""", GOOGLETRANSLATE(V559, ""RO"", ""EN""), """")"),"5")</f>
        <v>5</v>
      </c>
      <c r="J559" s="5" t="str">
        <f>IFERROR(__xludf.DUMMYFUNCTION("IF(W559&lt;&gt;"""", GOOGLETRANSLATE(W559, ""RO"", ""EN""), """")"),"6")</f>
        <v>6</v>
      </c>
      <c r="K559" s="5" t="str">
        <f>IFERROR(__xludf.DUMMYFUNCTION("IF(X559&lt;&gt;"""", GOOGLETRANSLATE(X559, ""RO"", ""EN""), """")"),"Daily")</f>
        <v>Daily</v>
      </c>
      <c r="L559" s="5" t="str">
        <f>IFERROR(__xludf.DUMMYFUNCTION("IF(S559&lt;&gt;"""", GOOGLETRANSLATE(S559, ""RO"", ""EN""), """")"),"")</f>
        <v/>
      </c>
      <c r="M559" s="5" t="str">
        <f>IFERROR(__xludf.DUMMYFUNCTION("IF(T559&lt;&gt;"""", GOOGLETRANSLATE(T559, ""RO"", ""EN""), """")"),"No.")</f>
        <v>No.</v>
      </c>
      <c r="N559" s="5" t="str">
        <f>IFERROR(__xludf.DUMMYFUNCTION("IF(Y559&lt;&gt;"""", GOOGLETRANSLATE(Y559, ""RO"", ""EN""), """")"),"")</f>
        <v/>
      </c>
      <c r="O559" s="4" t="s">
        <v>282</v>
      </c>
      <c r="P559" s="4" t="s">
        <v>168</v>
      </c>
      <c r="Q559" s="4" t="s">
        <v>169</v>
      </c>
      <c r="R559" s="4" t="s">
        <v>170</v>
      </c>
      <c r="T559" s="4" t="s">
        <v>104</v>
      </c>
      <c r="U559" s="4" t="s">
        <v>173</v>
      </c>
      <c r="V559" s="4" t="s">
        <v>174</v>
      </c>
      <c r="W559" s="4" t="s">
        <v>175</v>
      </c>
      <c r="X559" s="4" t="s">
        <v>838</v>
      </c>
    </row>
    <row r="560" ht="15.75" customHeight="1">
      <c r="A560" s="4" t="s">
        <v>1604</v>
      </c>
      <c r="B560" s="4" t="s">
        <v>1605</v>
      </c>
      <c r="C560" s="4" t="str">
        <f>IFERROR(__xludf.DUMMYFUNCTION("GOOGLETRANSLATE(B560, ""RO"", ""EN"")"),"Antenna 1 or 3")</f>
        <v>Antenna 1 or 3</v>
      </c>
      <c r="D560" s="5" t="str">
        <f>IFERROR(__xludf.DUMMYFUNCTION("IF(O560&lt;&gt;"""", GOOGLETRANSLATE(O560, ""RO"", ""EN""), """")"),"Never")</f>
        <v>Never</v>
      </c>
      <c r="E560" s="6" t="str">
        <f>IFERROR(__xludf.DUMMYFUNCTION("IF(P560&lt;&gt;"""", GOOGLETRANSLATE(P560, ""RO"", ""EN""), """")"),"1")</f>
        <v>1</v>
      </c>
      <c r="F560" s="5" t="str">
        <f>IFERROR(__xludf.DUMMYFUNCTION("IF(Q560&lt;&gt;"""", GOOGLETRANSLATE(Q560, ""RO"", ""EN""), """")"),"2")</f>
        <v>2</v>
      </c>
      <c r="G560" s="5" t="str">
        <f>IFERROR(__xludf.DUMMYFUNCTION("IF(R560&lt;&gt;"""", GOOGLETRANSLATE(R560, ""RO"", ""EN""), """")"),"3")</f>
        <v>3</v>
      </c>
      <c r="H560" s="5" t="str">
        <f>IFERROR(__xludf.DUMMYFUNCTION("IF(U560&lt;&gt;"""", GOOGLETRANSLATE(U560, ""RO"", ""EN""), """")"),"4")</f>
        <v>4</v>
      </c>
      <c r="I560" s="5" t="str">
        <f>IFERROR(__xludf.DUMMYFUNCTION("IF(V560&lt;&gt;"""", GOOGLETRANSLATE(V560, ""RO"", ""EN""), """")"),"5")</f>
        <v>5</v>
      </c>
      <c r="J560" s="5" t="str">
        <f>IFERROR(__xludf.DUMMYFUNCTION("IF(W560&lt;&gt;"""", GOOGLETRANSLATE(W560, ""RO"", ""EN""), """")"),"6")</f>
        <v>6</v>
      </c>
      <c r="K560" s="5" t="str">
        <f>IFERROR(__xludf.DUMMYFUNCTION("IF(X560&lt;&gt;"""", GOOGLETRANSLATE(X560, ""RO"", ""EN""), """")"),"Daily")</f>
        <v>Daily</v>
      </c>
      <c r="L560" s="5" t="str">
        <f>IFERROR(__xludf.DUMMYFUNCTION("IF(S560&lt;&gt;"""", GOOGLETRANSLATE(S560, ""RO"", ""EN""), """")"),"")</f>
        <v/>
      </c>
      <c r="M560" s="5" t="str">
        <f>IFERROR(__xludf.DUMMYFUNCTION("IF(T560&lt;&gt;"""", GOOGLETRANSLATE(T560, ""RO"", ""EN""), """")"),"No.")</f>
        <v>No.</v>
      </c>
      <c r="N560" s="5" t="str">
        <f>IFERROR(__xludf.DUMMYFUNCTION("IF(Y560&lt;&gt;"""", GOOGLETRANSLATE(Y560, ""RO"", ""EN""), """")"),"")</f>
        <v/>
      </c>
      <c r="O560" s="4" t="s">
        <v>282</v>
      </c>
      <c r="P560" s="4" t="s">
        <v>168</v>
      </c>
      <c r="Q560" s="4" t="s">
        <v>169</v>
      </c>
      <c r="R560" s="4" t="s">
        <v>170</v>
      </c>
      <c r="T560" s="4" t="s">
        <v>104</v>
      </c>
      <c r="U560" s="4" t="s">
        <v>173</v>
      </c>
      <c r="V560" s="4" t="s">
        <v>174</v>
      </c>
      <c r="W560" s="4" t="s">
        <v>175</v>
      </c>
      <c r="X560" s="4" t="s">
        <v>838</v>
      </c>
    </row>
    <row r="561" ht="15.75" customHeight="1">
      <c r="A561" s="4" t="s">
        <v>1606</v>
      </c>
      <c r="B561" s="4" t="s">
        <v>1607</v>
      </c>
      <c r="C561" s="4" t="str">
        <f>IFERROR(__xludf.DUMMYFUNCTION("GOOGLETRANSLATE(B561, ""RO"", ""EN"")"),"Realitatea TV")</f>
        <v>Realitatea TV</v>
      </c>
      <c r="D561" s="5" t="str">
        <f>IFERROR(__xludf.DUMMYFUNCTION("IF(O561&lt;&gt;"""", GOOGLETRANSLATE(O561, ""RO"", ""EN""), """")"),"Never")</f>
        <v>Never</v>
      </c>
      <c r="E561" s="6" t="str">
        <f>IFERROR(__xludf.DUMMYFUNCTION("IF(P561&lt;&gt;"""", GOOGLETRANSLATE(P561, ""RO"", ""EN""), """")"),"1")</f>
        <v>1</v>
      </c>
      <c r="F561" s="5" t="str">
        <f>IFERROR(__xludf.DUMMYFUNCTION("IF(Q561&lt;&gt;"""", GOOGLETRANSLATE(Q561, ""RO"", ""EN""), """")"),"2")</f>
        <v>2</v>
      </c>
      <c r="G561" s="5" t="str">
        <f>IFERROR(__xludf.DUMMYFUNCTION("IF(R561&lt;&gt;"""", GOOGLETRANSLATE(R561, ""RO"", ""EN""), """")"),"3")</f>
        <v>3</v>
      </c>
      <c r="H561" s="5" t="str">
        <f>IFERROR(__xludf.DUMMYFUNCTION("IF(U561&lt;&gt;"""", GOOGLETRANSLATE(U561, ""RO"", ""EN""), """")"),"4")</f>
        <v>4</v>
      </c>
      <c r="I561" s="5" t="str">
        <f>IFERROR(__xludf.DUMMYFUNCTION("IF(V561&lt;&gt;"""", GOOGLETRANSLATE(V561, ""RO"", ""EN""), """")"),"5")</f>
        <v>5</v>
      </c>
      <c r="J561" s="5" t="str">
        <f>IFERROR(__xludf.DUMMYFUNCTION("IF(W561&lt;&gt;"""", GOOGLETRANSLATE(W561, ""RO"", ""EN""), """")"),"6")</f>
        <v>6</v>
      </c>
      <c r="K561" s="5" t="str">
        <f>IFERROR(__xludf.DUMMYFUNCTION("IF(X561&lt;&gt;"""", GOOGLETRANSLATE(X561, ""RO"", ""EN""), """")"),"Daily")</f>
        <v>Daily</v>
      </c>
      <c r="L561" s="5" t="str">
        <f>IFERROR(__xludf.DUMMYFUNCTION("IF(S561&lt;&gt;"""", GOOGLETRANSLATE(S561, ""RO"", ""EN""), """")"),"")</f>
        <v/>
      </c>
      <c r="M561" s="5" t="str">
        <f>IFERROR(__xludf.DUMMYFUNCTION("IF(T561&lt;&gt;"""", GOOGLETRANSLATE(T561, ""RO"", ""EN""), """")"),"No.")</f>
        <v>No.</v>
      </c>
      <c r="N561" s="5" t="str">
        <f>IFERROR(__xludf.DUMMYFUNCTION("IF(Y561&lt;&gt;"""", GOOGLETRANSLATE(Y561, ""RO"", ""EN""), """")"),"")</f>
        <v/>
      </c>
      <c r="O561" s="4" t="s">
        <v>282</v>
      </c>
      <c r="P561" s="4" t="s">
        <v>168</v>
      </c>
      <c r="Q561" s="4" t="s">
        <v>169</v>
      </c>
      <c r="R561" s="4" t="s">
        <v>170</v>
      </c>
      <c r="T561" s="4" t="s">
        <v>104</v>
      </c>
      <c r="U561" s="4" t="s">
        <v>173</v>
      </c>
      <c r="V561" s="4" t="s">
        <v>174</v>
      </c>
      <c r="W561" s="4" t="s">
        <v>175</v>
      </c>
      <c r="X561" s="4" t="s">
        <v>838</v>
      </c>
    </row>
    <row r="562" ht="15.75" customHeight="1">
      <c r="A562" s="4" t="s">
        <v>1608</v>
      </c>
      <c r="B562" s="4" t="s">
        <v>1609</v>
      </c>
      <c r="C562" s="4" t="str">
        <f>IFERROR(__xludf.DUMMYFUNCTION("GOOGLETRANSLATE(B562, ""RO"", ""EN"")"),"Otv")</f>
        <v>Otv</v>
      </c>
      <c r="D562" s="5" t="str">
        <f>IFERROR(__xludf.DUMMYFUNCTION("IF(O562&lt;&gt;"""", GOOGLETRANSLATE(O562, ""RO"", ""EN""), """")"),"Never")</f>
        <v>Never</v>
      </c>
      <c r="E562" s="6" t="str">
        <f>IFERROR(__xludf.DUMMYFUNCTION("IF(P562&lt;&gt;"""", GOOGLETRANSLATE(P562, ""RO"", ""EN""), """")"),"1")</f>
        <v>1</v>
      </c>
      <c r="F562" s="5" t="str">
        <f>IFERROR(__xludf.DUMMYFUNCTION("IF(Q562&lt;&gt;"""", GOOGLETRANSLATE(Q562, ""RO"", ""EN""), """")"),"2")</f>
        <v>2</v>
      </c>
      <c r="G562" s="5" t="str">
        <f>IFERROR(__xludf.DUMMYFUNCTION("IF(R562&lt;&gt;"""", GOOGLETRANSLATE(R562, ""RO"", ""EN""), """")"),"3")</f>
        <v>3</v>
      </c>
      <c r="H562" s="5" t="str">
        <f>IFERROR(__xludf.DUMMYFUNCTION("IF(U562&lt;&gt;"""", GOOGLETRANSLATE(U562, ""RO"", ""EN""), """")"),"4")</f>
        <v>4</v>
      </c>
      <c r="I562" s="5" t="str">
        <f>IFERROR(__xludf.DUMMYFUNCTION("IF(V562&lt;&gt;"""", GOOGLETRANSLATE(V562, ""RO"", ""EN""), """")"),"5")</f>
        <v>5</v>
      </c>
      <c r="J562" s="5" t="str">
        <f>IFERROR(__xludf.DUMMYFUNCTION("IF(W562&lt;&gt;"""", GOOGLETRANSLATE(W562, ""RO"", ""EN""), """")"),"6")</f>
        <v>6</v>
      </c>
      <c r="K562" s="5" t="str">
        <f>IFERROR(__xludf.DUMMYFUNCTION("IF(X562&lt;&gt;"""", GOOGLETRANSLATE(X562, ""RO"", ""EN""), """")"),"Daily")</f>
        <v>Daily</v>
      </c>
      <c r="L562" s="5" t="str">
        <f>IFERROR(__xludf.DUMMYFUNCTION("IF(S562&lt;&gt;"""", GOOGLETRANSLATE(S562, ""RO"", ""EN""), """")"),"")</f>
        <v/>
      </c>
      <c r="M562" s="5" t="str">
        <f>IFERROR(__xludf.DUMMYFUNCTION("IF(T562&lt;&gt;"""", GOOGLETRANSLATE(T562, ""RO"", ""EN""), """")"),"No.")</f>
        <v>No.</v>
      </c>
      <c r="N562" s="5" t="str">
        <f>IFERROR(__xludf.DUMMYFUNCTION("IF(Y562&lt;&gt;"""", GOOGLETRANSLATE(Y562, ""RO"", ""EN""), """")"),"")</f>
        <v/>
      </c>
      <c r="O562" s="4" t="s">
        <v>282</v>
      </c>
      <c r="P562" s="4" t="s">
        <v>168</v>
      </c>
      <c r="Q562" s="4" t="s">
        <v>169</v>
      </c>
      <c r="R562" s="4" t="s">
        <v>170</v>
      </c>
      <c r="T562" s="4" t="s">
        <v>104</v>
      </c>
      <c r="U562" s="4" t="s">
        <v>173</v>
      </c>
      <c r="V562" s="4" t="s">
        <v>174</v>
      </c>
      <c r="W562" s="4" t="s">
        <v>175</v>
      </c>
      <c r="X562" s="4" t="s">
        <v>838</v>
      </c>
    </row>
    <row r="563" ht="15.75" customHeight="1">
      <c r="A563" s="4" t="s">
        <v>1610</v>
      </c>
      <c r="B563" s="4" t="s">
        <v>1611</v>
      </c>
      <c r="C563" s="4" t="str">
        <f>IFERROR(__xludf.DUMMYFUNCTION("GOOGLETRANSLATE(B563, ""RO"", ""EN"")"),"Another post")</f>
        <v>Another post</v>
      </c>
      <c r="D563" s="5" t="str">
        <f>IFERROR(__xludf.DUMMYFUNCTION("IF(O563&lt;&gt;"""", GOOGLETRANSLATE(O563, ""RO"", ""EN""), """")"),"Never")</f>
        <v>Never</v>
      </c>
      <c r="E563" s="6" t="str">
        <f>IFERROR(__xludf.DUMMYFUNCTION("IF(P563&lt;&gt;"""", GOOGLETRANSLATE(P563, ""RO"", ""EN""), """")"),"1")</f>
        <v>1</v>
      </c>
      <c r="F563" s="5" t="str">
        <f>IFERROR(__xludf.DUMMYFUNCTION("IF(Q563&lt;&gt;"""", GOOGLETRANSLATE(Q563, ""RO"", ""EN""), """")"),"2")</f>
        <v>2</v>
      </c>
      <c r="G563" s="5" t="str">
        <f>IFERROR(__xludf.DUMMYFUNCTION("IF(R563&lt;&gt;"""", GOOGLETRANSLATE(R563, ""RO"", ""EN""), """")"),"3")</f>
        <v>3</v>
      </c>
      <c r="H563" s="5" t="str">
        <f>IFERROR(__xludf.DUMMYFUNCTION("IF(U563&lt;&gt;"""", GOOGLETRANSLATE(U563, ""RO"", ""EN""), """")"),"4")</f>
        <v>4</v>
      </c>
      <c r="I563" s="5" t="str">
        <f>IFERROR(__xludf.DUMMYFUNCTION("IF(V563&lt;&gt;"""", GOOGLETRANSLATE(V563, ""RO"", ""EN""), """")"),"5")</f>
        <v>5</v>
      </c>
      <c r="J563" s="5" t="str">
        <f>IFERROR(__xludf.DUMMYFUNCTION("IF(W563&lt;&gt;"""", GOOGLETRANSLATE(W563, ""RO"", ""EN""), """")"),"6")</f>
        <v>6</v>
      </c>
      <c r="K563" s="5" t="str">
        <f>IFERROR(__xludf.DUMMYFUNCTION("IF(X563&lt;&gt;"""", GOOGLETRANSLATE(X563, ""RO"", ""EN""), """")"),"Daily")</f>
        <v>Daily</v>
      </c>
      <c r="L563" s="5" t="str">
        <f>IFERROR(__xludf.DUMMYFUNCTION("IF(S563&lt;&gt;"""", GOOGLETRANSLATE(S563, ""RO"", ""EN""), """")"),"")</f>
        <v/>
      </c>
      <c r="M563" s="5" t="str">
        <f>IFERROR(__xludf.DUMMYFUNCTION("IF(T563&lt;&gt;"""", GOOGLETRANSLATE(T563, ""RO"", ""EN""), """")"),"No.")</f>
        <v>No.</v>
      </c>
      <c r="N563" s="5" t="str">
        <f>IFERROR(__xludf.DUMMYFUNCTION("IF(Y563&lt;&gt;"""", GOOGLETRANSLATE(Y563, ""RO"", ""EN""), """")"),"")</f>
        <v/>
      </c>
      <c r="O563" s="4" t="s">
        <v>282</v>
      </c>
      <c r="P563" s="4" t="s">
        <v>168</v>
      </c>
      <c r="Q563" s="4" t="s">
        <v>169</v>
      </c>
      <c r="R563" s="4" t="s">
        <v>170</v>
      </c>
      <c r="T563" s="4" t="s">
        <v>104</v>
      </c>
      <c r="U563" s="4" t="s">
        <v>173</v>
      </c>
      <c r="V563" s="4" t="s">
        <v>174</v>
      </c>
      <c r="W563" s="4" t="s">
        <v>175</v>
      </c>
      <c r="X563" s="4" t="s">
        <v>838</v>
      </c>
    </row>
    <row r="564" ht="15.75" customHeight="1">
      <c r="A564" s="4" t="s">
        <v>1612</v>
      </c>
      <c r="B564" s="4" t="s">
        <v>1613</v>
      </c>
      <c r="C564" s="4" t="str">
        <f>IFERROR(__xludf.DUMMYFUNCTION("GOOGLETRANSLATE(B564, ""RO"", ""EN"")"),"In general, people are attentive to different parts of news programs on TV. When you looked at the news, how much attention did you pay about the news about ...? economical situation")</f>
        <v>In general, people are attentive to different parts of news programs on TV. When you looked at the news, how much attention did you pay about the news about ...? economical situation</v>
      </c>
      <c r="D564" s="5" t="str">
        <f>IFERROR(__xludf.DUMMYFUNCTION("IF(O564&lt;&gt;"""", GOOGLETRANSLATE(O564, ""RO"", ""EN""), """")"),"very little/ not at all")</f>
        <v>very little/ not at all</v>
      </c>
      <c r="E564" s="6" t="str">
        <f>IFERROR(__xludf.DUMMYFUNCTION("IF(P564&lt;&gt;"""", GOOGLETRANSLATE(P564, ""RO"", ""EN""), """")"),"few")</f>
        <v>few</v>
      </c>
      <c r="F564" s="5" t="str">
        <f>IFERROR(__xludf.DUMMYFUNCTION("IF(Q564&lt;&gt;"""", GOOGLETRANSLATE(Q564, ""RO"", ""EN""), """")"),"MORE")</f>
        <v>MORE</v>
      </c>
      <c r="G564" s="5" t="str">
        <f>IFERROR(__xludf.DUMMYFUNCTION("IF(R564&lt;&gt;"""", GOOGLETRANSLATE(R564, ""RO"", ""EN""), """")"),"a lot")</f>
        <v>a lot</v>
      </c>
      <c r="H564" s="5" t="str">
        <f>IFERROR(__xludf.DUMMYFUNCTION("IF(U564&lt;&gt;"""", GOOGLETRANSLATE(U564, ""RO"", ""EN""), """")"),"")</f>
        <v/>
      </c>
      <c r="I564" s="5" t="str">
        <f>IFERROR(__xludf.DUMMYFUNCTION("IF(V564&lt;&gt;"""", GOOGLETRANSLATE(V564, ""RO"", ""EN""), """")"),"")</f>
        <v/>
      </c>
      <c r="J564" s="5" t="str">
        <f>IFERROR(__xludf.DUMMYFUNCTION("IF(W564&lt;&gt;"""", GOOGLETRANSLATE(W564, ""RO"", ""EN""), """")"),"")</f>
        <v/>
      </c>
      <c r="K564" s="5" t="str">
        <f>IFERROR(__xludf.DUMMYFUNCTION("IF(X564&lt;&gt;"""", GOOGLETRANSLATE(X564, ""RO"", ""EN""), """")"),"")</f>
        <v/>
      </c>
      <c r="L564" s="5" t="str">
        <f>IFERROR(__xludf.DUMMYFUNCTION("IF(S564&lt;&gt;"""", GOOGLETRANSLATE(S564, ""RO"", ""EN""), """")"),"Ns")</f>
        <v>Ns</v>
      </c>
      <c r="M564" s="5" t="str">
        <f>IFERROR(__xludf.DUMMYFUNCTION("IF(T564&lt;&gt;"""", GOOGLETRANSLATE(T564, ""RO"", ""EN""), """")"),"No.")</f>
        <v>No.</v>
      </c>
      <c r="N564" s="5" t="str">
        <f>IFERROR(__xludf.DUMMYFUNCTION("IF(Y564&lt;&gt;"""", GOOGLETRANSLATE(Y564, ""RO"", ""EN""), """")"),"")</f>
        <v/>
      </c>
      <c r="O564" s="4" t="s">
        <v>1614</v>
      </c>
      <c r="P564" s="4" t="s">
        <v>1615</v>
      </c>
      <c r="Q564" s="4" t="s">
        <v>1616</v>
      </c>
      <c r="R564" s="4" t="s">
        <v>1617</v>
      </c>
      <c r="S564" s="4" t="s">
        <v>103</v>
      </c>
      <c r="T564" s="4" t="s">
        <v>104</v>
      </c>
    </row>
    <row r="565" ht="15.75" customHeight="1">
      <c r="A565" s="4" t="s">
        <v>1618</v>
      </c>
      <c r="B565" s="4" t="s">
        <v>1619</v>
      </c>
      <c r="C565" s="4" t="str">
        <f>IFERROR(__xludf.DUMMYFUNCTION("GOOGLETRANSLATE(B565, ""RO"", ""EN"")"),"... the political situation")</f>
        <v>... the political situation</v>
      </c>
      <c r="D565" s="5" t="str">
        <f>IFERROR(__xludf.DUMMYFUNCTION("IF(O565&lt;&gt;"""", GOOGLETRANSLATE(O565, ""RO"", ""EN""), """")"),"very little/ not at all")</f>
        <v>very little/ not at all</v>
      </c>
      <c r="E565" s="6" t="str">
        <f>IFERROR(__xludf.DUMMYFUNCTION("IF(P565&lt;&gt;"""", GOOGLETRANSLATE(P565, ""RO"", ""EN""), """")"),"few")</f>
        <v>few</v>
      </c>
      <c r="F565" s="5" t="str">
        <f>IFERROR(__xludf.DUMMYFUNCTION("IF(Q565&lt;&gt;"""", GOOGLETRANSLATE(Q565, ""RO"", ""EN""), """")"),"MORE")</f>
        <v>MORE</v>
      </c>
      <c r="G565" s="5" t="str">
        <f>IFERROR(__xludf.DUMMYFUNCTION("IF(R565&lt;&gt;"""", GOOGLETRANSLATE(R565, ""RO"", ""EN""), """")"),"a lot")</f>
        <v>a lot</v>
      </c>
      <c r="H565" s="5" t="str">
        <f>IFERROR(__xludf.DUMMYFUNCTION("IF(U565&lt;&gt;"""", GOOGLETRANSLATE(U565, ""RO"", ""EN""), """")"),"")</f>
        <v/>
      </c>
      <c r="I565" s="5" t="str">
        <f>IFERROR(__xludf.DUMMYFUNCTION("IF(V565&lt;&gt;"""", GOOGLETRANSLATE(V565, ""RO"", ""EN""), """")"),"")</f>
        <v/>
      </c>
      <c r="J565" s="5" t="str">
        <f>IFERROR(__xludf.DUMMYFUNCTION("IF(W565&lt;&gt;"""", GOOGLETRANSLATE(W565, ""RO"", ""EN""), """")"),"")</f>
        <v/>
      </c>
      <c r="K565" s="5" t="str">
        <f>IFERROR(__xludf.DUMMYFUNCTION("IF(X565&lt;&gt;"""", GOOGLETRANSLATE(X565, ""RO"", ""EN""), """")"),"")</f>
        <v/>
      </c>
      <c r="L565" s="5" t="str">
        <f>IFERROR(__xludf.DUMMYFUNCTION("IF(S565&lt;&gt;"""", GOOGLETRANSLATE(S565, ""RO"", ""EN""), """")"),"Ns")</f>
        <v>Ns</v>
      </c>
      <c r="M565" s="5" t="str">
        <f>IFERROR(__xludf.DUMMYFUNCTION("IF(T565&lt;&gt;"""", GOOGLETRANSLATE(T565, ""RO"", ""EN""), """")"),"No.")</f>
        <v>No.</v>
      </c>
      <c r="N565" s="5" t="str">
        <f>IFERROR(__xludf.DUMMYFUNCTION("IF(Y565&lt;&gt;"""", GOOGLETRANSLATE(Y565, ""RO"", ""EN""), """")"),"")</f>
        <v/>
      </c>
      <c r="O565" s="4" t="s">
        <v>1614</v>
      </c>
      <c r="P565" s="4" t="s">
        <v>1615</v>
      </c>
      <c r="Q565" s="4" t="s">
        <v>1616</v>
      </c>
      <c r="R565" s="4" t="s">
        <v>1617</v>
      </c>
      <c r="S565" s="4" t="s">
        <v>103</v>
      </c>
      <c r="T565" s="4" t="s">
        <v>104</v>
      </c>
    </row>
    <row r="566" ht="15.75" customHeight="1">
      <c r="A566" s="4" t="s">
        <v>1620</v>
      </c>
      <c r="B566" s="4" t="s">
        <v>1621</v>
      </c>
      <c r="C566" s="4" t="str">
        <f>IFERROR(__xludf.DUMMYFUNCTION("GOOGLETRANSLATE(B566, ""RO"", ""EN"")"),"... the election campaign")</f>
        <v>... the election campaign</v>
      </c>
      <c r="D566" s="5" t="str">
        <f>IFERROR(__xludf.DUMMYFUNCTION("IF(O566&lt;&gt;"""", GOOGLETRANSLATE(O566, ""RO"", ""EN""), """")"),"very little/ not at all")</f>
        <v>very little/ not at all</v>
      </c>
      <c r="E566" s="6" t="str">
        <f>IFERROR(__xludf.DUMMYFUNCTION("IF(P566&lt;&gt;"""", GOOGLETRANSLATE(P566, ""RO"", ""EN""), """")"),"few")</f>
        <v>few</v>
      </c>
      <c r="F566" s="5" t="str">
        <f>IFERROR(__xludf.DUMMYFUNCTION("IF(Q566&lt;&gt;"""", GOOGLETRANSLATE(Q566, ""RO"", ""EN""), """")"),"MORE")</f>
        <v>MORE</v>
      </c>
      <c r="G566" s="5" t="str">
        <f>IFERROR(__xludf.DUMMYFUNCTION("IF(R566&lt;&gt;"""", GOOGLETRANSLATE(R566, ""RO"", ""EN""), """")"),"a lot")</f>
        <v>a lot</v>
      </c>
      <c r="H566" s="5" t="str">
        <f>IFERROR(__xludf.DUMMYFUNCTION("IF(U566&lt;&gt;"""", GOOGLETRANSLATE(U566, ""RO"", ""EN""), """")"),"")</f>
        <v/>
      </c>
      <c r="I566" s="5" t="str">
        <f>IFERROR(__xludf.DUMMYFUNCTION("IF(V566&lt;&gt;"""", GOOGLETRANSLATE(V566, ""RO"", ""EN""), """")"),"")</f>
        <v/>
      </c>
      <c r="J566" s="5" t="str">
        <f>IFERROR(__xludf.DUMMYFUNCTION("IF(W566&lt;&gt;"""", GOOGLETRANSLATE(W566, ""RO"", ""EN""), """")"),"")</f>
        <v/>
      </c>
      <c r="K566" s="5" t="str">
        <f>IFERROR(__xludf.DUMMYFUNCTION("IF(X566&lt;&gt;"""", GOOGLETRANSLATE(X566, ""RO"", ""EN""), """")"),"")</f>
        <v/>
      </c>
      <c r="L566" s="5" t="str">
        <f>IFERROR(__xludf.DUMMYFUNCTION("IF(S566&lt;&gt;"""", GOOGLETRANSLATE(S566, ""RO"", ""EN""), """")"),"Ns")</f>
        <v>Ns</v>
      </c>
      <c r="M566" s="5" t="str">
        <f>IFERROR(__xludf.DUMMYFUNCTION("IF(T566&lt;&gt;"""", GOOGLETRANSLATE(T566, ""RO"", ""EN""), """")"),"No.")</f>
        <v>No.</v>
      </c>
      <c r="N566" s="5" t="str">
        <f>IFERROR(__xludf.DUMMYFUNCTION("IF(Y566&lt;&gt;"""", GOOGLETRANSLATE(Y566, ""RO"", ""EN""), """")"),"")</f>
        <v/>
      </c>
      <c r="O566" s="4" t="s">
        <v>1614</v>
      </c>
      <c r="P566" s="4" t="s">
        <v>1615</v>
      </c>
      <c r="Q566" s="4" t="s">
        <v>1616</v>
      </c>
      <c r="R566" s="4" t="s">
        <v>1617</v>
      </c>
      <c r="S566" s="4" t="s">
        <v>103</v>
      </c>
      <c r="T566" s="4" t="s">
        <v>104</v>
      </c>
    </row>
    <row r="567" ht="15.75" customHeight="1">
      <c r="A567" s="4" t="s">
        <v>1622</v>
      </c>
      <c r="B567" s="4" t="s">
        <v>1623</v>
      </c>
      <c r="C567" s="4" t="str">
        <f>IFERROR(__xludf.DUMMYFUNCTION("GOOGLETRANSLATE(B567, ""RO"", ""EN"")"),"Do you think that the way the following TV stations reflected the election campaign favored one or more candidates, or none? TVR 1")</f>
        <v>Do you think that the way the following TV stations reflected the election campaign favored one or more candidates, or none? TVR 1</v>
      </c>
      <c r="D567" s="5" t="str">
        <f>IFERROR(__xludf.DUMMYFUNCTION("IF(O567&lt;&gt;"""", GOOGLETRANSLATE(O567, ""RO"", ""EN""), """")"),"Has not favored anyone")</f>
        <v>Has not favored anyone</v>
      </c>
      <c r="E567" s="6" t="str">
        <f>IFERROR(__xludf.DUMMYFUNCTION("IF(P567&lt;&gt;"""", GOOGLETRANSLATE(P567, ""RO"", ""EN""), """")"),"He favored Traian Basescu")</f>
        <v>He favored Traian Basescu</v>
      </c>
      <c r="F567" s="5" t="str">
        <f>IFERROR(__xludf.DUMMYFUNCTION("IF(Q567&lt;&gt;"""", GOOGLETRANSLATE(Q567, ""RO"", ""EN""), """")"),"Favored Mircea Geoana")</f>
        <v>Favored Mircea Geoana</v>
      </c>
      <c r="G567" s="5" t="str">
        <f>IFERROR(__xludf.DUMMYFUNCTION("IF(R567&lt;&gt;"""", GOOGLETRANSLATE(R567, ""RO"", ""EN""), """")"),"He favored Crin Antonescu")</f>
        <v>He favored Crin Antonescu</v>
      </c>
      <c r="H567" s="5" t="str">
        <f>IFERROR(__xludf.DUMMYFUNCTION("IF(U567&lt;&gt;"""", GOOGLETRANSLATE(U567, ""RO"", ""EN""), """")"),"Has favored another candidate")</f>
        <v>Has favored another candidate</v>
      </c>
      <c r="I567" s="5" t="str">
        <f>IFERROR(__xludf.DUMMYFUNCTION("IF(V567&lt;&gt;"""", GOOGLETRANSLATE(V567, ""RO"", ""EN""), """")"),"")</f>
        <v/>
      </c>
      <c r="J567" s="5" t="str">
        <f>IFERROR(__xludf.DUMMYFUNCTION("IF(W567&lt;&gt;"""", GOOGLETRANSLATE(W567, ""RO"", ""EN""), """")"),"")</f>
        <v/>
      </c>
      <c r="K567" s="5" t="str">
        <f>IFERROR(__xludf.DUMMYFUNCTION("IF(X567&lt;&gt;"""", GOOGLETRANSLATE(X567, ""RO"", ""EN""), """")"),"")</f>
        <v/>
      </c>
      <c r="L567" s="5" t="str">
        <f>IFERROR(__xludf.DUMMYFUNCTION("IF(S567&lt;&gt;"""", GOOGLETRANSLATE(S567, ""RO"", ""EN""), """")"),"Ns")</f>
        <v>Ns</v>
      </c>
      <c r="M567" s="5" t="str">
        <f>IFERROR(__xludf.DUMMYFUNCTION("IF(T567&lt;&gt;"""", GOOGLETRANSLATE(T567, ""RO"", ""EN""), """")"),"No.")</f>
        <v>No.</v>
      </c>
      <c r="N567" s="5" t="str">
        <f>IFERROR(__xludf.DUMMYFUNCTION("IF(Y567&lt;&gt;"""", GOOGLETRANSLATE(Y567, ""RO"", ""EN""), """")"),"")</f>
        <v/>
      </c>
      <c r="O567" s="4" t="s">
        <v>1624</v>
      </c>
      <c r="P567" s="4" t="s">
        <v>1625</v>
      </c>
      <c r="Q567" s="4" t="s">
        <v>1626</v>
      </c>
      <c r="R567" s="4" t="s">
        <v>1627</v>
      </c>
      <c r="S567" s="4" t="s">
        <v>103</v>
      </c>
      <c r="T567" s="4" t="s">
        <v>104</v>
      </c>
      <c r="U567" s="4" t="s">
        <v>1628</v>
      </c>
    </row>
    <row r="568" ht="15.75" customHeight="1">
      <c r="A568" s="4" t="s">
        <v>1629</v>
      </c>
      <c r="B568" s="4" t="s">
        <v>1603</v>
      </c>
      <c r="C568" s="4" t="str">
        <f>IFERROR(__xludf.DUMMYFUNCTION("GOOGLETRANSLATE(B568, ""RO"", ""EN"")"),"ProTv")</f>
        <v>ProTv</v>
      </c>
      <c r="D568" s="5" t="str">
        <f>IFERROR(__xludf.DUMMYFUNCTION("IF(O568&lt;&gt;"""", GOOGLETRANSLATE(O568, ""RO"", ""EN""), """")"),"Has not favored anyone")</f>
        <v>Has not favored anyone</v>
      </c>
      <c r="E568" s="6" t="str">
        <f>IFERROR(__xludf.DUMMYFUNCTION("IF(P568&lt;&gt;"""", GOOGLETRANSLATE(P568, ""RO"", ""EN""), """")"),"He favored Traian Basescu")</f>
        <v>He favored Traian Basescu</v>
      </c>
      <c r="F568" s="5" t="str">
        <f>IFERROR(__xludf.DUMMYFUNCTION("IF(Q568&lt;&gt;"""", GOOGLETRANSLATE(Q568, ""RO"", ""EN""), """")"),"Favored Mircea Geoana")</f>
        <v>Favored Mircea Geoana</v>
      </c>
      <c r="G568" s="5" t="str">
        <f>IFERROR(__xludf.DUMMYFUNCTION("IF(R568&lt;&gt;"""", GOOGLETRANSLATE(R568, ""RO"", ""EN""), """")"),"He favored Crin Antonescu")</f>
        <v>He favored Crin Antonescu</v>
      </c>
      <c r="H568" s="5" t="str">
        <f>IFERROR(__xludf.DUMMYFUNCTION("IF(U568&lt;&gt;"""", GOOGLETRANSLATE(U568, ""RO"", ""EN""), """")"),"Has favored another candidate")</f>
        <v>Has favored another candidate</v>
      </c>
      <c r="I568" s="5" t="str">
        <f>IFERROR(__xludf.DUMMYFUNCTION("IF(V568&lt;&gt;"""", GOOGLETRANSLATE(V568, ""RO"", ""EN""), """")"),"")</f>
        <v/>
      </c>
      <c r="J568" s="5" t="str">
        <f>IFERROR(__xludf.DUMMYFUNCTION("IF(W568&lt;&gt;"""", GOOGLETRANSLATE(W568, ""RO"", ""EN""), """")"),"")</f>
        <v/>
      </c>
      <c r="K568" s="5" t="str">
        <f>IFERROR(__xludf.DUMMYFUNCTION("IF(X568&lt;&gt;"""", GOOGLETRANSLATE(X568, ""RO"", ""EN""), """")"),"")</f>
        <v/>
      </c>
      <c r="L568" s="5" t="str">
        <f>IFERROR(__xludf.DUMMYFUNCTION("IF(S568&lt;&gt;"""", GOOGLETRANSLATE(S568, ""RO"", ""EN""), """")"),"Ns")</f>
        <v>Ns</v>
      </c>
      <c r="M568" s="5" t="str">
        <f>IFERROR(__xludf.DUMMYFUNCTION("IF(T568&lt;&gt;"""", GOOGLETRANSLATE(T568, ""RO"", ""EN""), """")"),"No.")</f>
        <v>No.</v>
      </c>
      <c r="N568" s="5" t="str">
        <f>IFERROR(__xludf.DUMMYFUNCTION("IF(Y568&lt;&gt;"""", GOOGLETRANSLATE(Y568, ""RO"", ""EN""), """")"),"")</f>
        <v/>
      </c>
      <c r="O568" s="4" t="s">
        <v>1624</v>
      </c>
      <c r="P568" s="4" t="s">
        <v>1625</v>
      </c>
      <c r="Q568" s="4" t="s">
        <v>1626</v>
      </c>
      <c r="R568" s="4" t="s">
        <v>1627</v>
      </c>
      <c r="S568" s="4" t="s">
        <v>103</v>
      </c>
      <c r="T568" s="4" t="s">
        <v>104</v>
      </c>
      <c r="U568" s="4" t="s">
        <v>1628</v>
      </c>
    </row>
    <row r="569" ht="15.75" customHeight="1">
      <c r="A569" s="4" t="s">
        <v>1630</v>
      </c>
      <c r="B569" s="4" t="s">
        <v>1605</v>
      </c>
      <c r="C569" s="4" t="str">
        <f>IFERROR(__xludf.DUMMYFUNCTION("GOOGLETRANSLATE(B569, ""RO"", ""EN"")"),"Antenna 1 or 3")</f>
        <v>Antenna 1 or 3</v>
      </c>
      <c r="D569" s="5" t="str">
        <f>IFERROR(__xludf.DUMMYFUNCTION("IF(O569&lt;&gt;"""", GOOGLETRANSLATE(O569, ""RO"", ""EN""), """")"),"Has not favored anyone")</f>
        <v>Has not favored anyone</v>
      </c>
      <c r="E569" s="6" t="str">
        <f>IFERROR(__xludf.DUMMYFUNCTION("IF(P569&lt;&gt;"""", GOOGLETRANSLATE(P569, ""RO"", ""EN""), """")"),"He favored Traian Basescu")</f>
        <v>He favored Traian Basescu</v>
      </c>
      <c r="F569" s="5" t="str">
        <f>IFERROR(__xludf.DUMMYFUNCTION("IF(Q569&lt;&gt;"""", GOOGLETRANSLATE(Q569, ""RO"", ""EN""), """")"),"Favored Mircea Geoana")</f>
        <v>Favored Mircea Geoana</v>
      </c>
      <c r="G569" s="5" t="str">
        <f>IFERROR(__xludf.DUMMYFUNCTION("IF(R569&lt;&gt;"""", GOOGLETRANSLATE(R569, ""RO"", ""EN""), """")"),"He favored Crin Antonescu")</f>
        <v>He favored Crin Antonescu</v>
      </c>
      <c r="H569" s="5" t="str">
        <f>IFERROR(__xludf.DUMMYFUNCTION("IF(U569&lt;&gt;"""", GOOGLETRANSLATE(U569, ""RO"", ""EN""), """")"),"Has favored another candidate")</f>
        <v>Has favored another candidate</v>
      </c>
      <c r="I569" s="5" t="str">
        <f>IFERROR(__xludf.DUMMYFUNCTION("IF(V569&lt;&gt;"""", GOOGLETRANSLATE(V569, ""RO"", ""EN""), """")"),"")</f>
        <v/>
      </c>
      <c r="J569" s="5" t="str">
        <f>IFERROR(__xludf.DUMMYFUNCTION("IF(W569&lt;&gt;"""", GOOGLETRANSLATE(W569, ""RO"", ""EN""), """")"),"")</f>
        <v/>
      </c>
      <c r="K569" s="5" t="str">
        <f>IFERROR(__xludf.DUMMYFUNCTION("IF(X569&lt;&gt;"""", GOOGLETRANSLATE(X569, ""RO"", ""EN""), """")"),"")</f>
        <v/>
      </c>
      <c r="L569" s="5" t="str">
        <f>IFERROR(__xludf.DUMMYFUNCTION("IF(S569&lt;&gt;"""", GOOGLETRANSLATE(S569, ""RO"", ""EN""), """")"),"Ns")</f>
        <v>Ns</v>
      </c>
      <c r="M569" s="5" t="str">
        <f>IFERROR(__xludf.DUMMYFUNCTION("IF(T569&lt;&gt;"""", GOOGLETRANSLATE(T569, ""RO"", ""EN""), """")"),"No.")</f>
        <v>No.</v>
      </c>
      <c r="N569" s="5" t="str">
        <f>IFERROR(__xludf.DUMMYFUNCTION("IF(Y569&lt;&gt;"""", GOOGLETRANSLATE(Y569, ""RO"", ""EN""), """")"),"")</f>
        <v/>
      </c>
      <c r="O569" s="4" t="s">
        <v>1624</v>
      </c>
      <c r="P569" s="4" t="s">
        <v>1625</v>
      </c>
      <c r="Q569" s="4" t="s">
        <v>1626</v>
      </c>
      <c r="R569" s="4" t="s">
        <v>1627</v>
      </c>
      <c r="S569" s="4" t="s">
        <v>103</v>
      </c>
      <c r="T569" s="4" t="s">
        <v>104</v>
      </c>
      <c r="U569" s="4" t="s">
        <v>1628</v>
      </c>
    </row>
    <row r="570" ht="15.75" customHeight="1">
      <c r="A570" s="4" t="s">
        <v>1631</v>
      </c>
      <c r="B570" s="4" t="s">
        <v>1607</v>
      </c>
      <c r="C570" s="4" t="str">
        <f>IFERROR(__xludf.DUMMYFUNCTION("GOOGLETRANSLATE(B570, ""RO"", ""EN"")"),"Realitatea TV")</f>
        <v>Realitatea TV</v>
      </c>
      <c r="D570" s="5" t="str">
        <f>IFERROR(__xludf.DUMMYFUNCTION("IF(O570&lt;&gt;"""", GOOGLETRANSLATE(O570, ""RO"", ""EN""), """")"),"Has not favored anyone")</f>
        <v>Has not favored anyone</v>
      </c>
      <c r="E570" s="6" t="str">
        <f>IFERROR(__xludf.DUMMYFUNCTION("IF(P570&lt;&gt;"""", GOOGLETRANSLATE(P570, ""RO"", ""EN""), """")"),"He favored Traian Basescu")</f>
        <v>He favored Traian Basescu</v>
      </c>
      <c r="F570" s="5" t="str">
        <f>IFERROR(__xludf.DUMMYFUNCTION("IF(Q570&lt;&gt;"""", GOOGLETRANSLATE(Q570, ""RO"", ""EN""), """")"),"Favored Mircea Geoana")</f>
        <v>Favored Mircea Geoana</v>
      </c>
      <c r="G570" s="5" t="str">
        <f>IFERROR(__xludf.DUMMYFUNCTION("IF(R570&lt;&gt;"""", GOOGLETRANSLATE(R570, ""RO"", ""EN""), """")"),"He favored Crin Antonescu")</f>
        <v>He favored Crin Antonescu</v>
      </c>
      <c r="H570" s="5" t="str">
        <f>IFERROR(__xludf.DUMMYFUNCTION("IF(U570&lt;&gt;"""", GOOGLETRANSLATE(U570, ""RO"", ""EN""), """")"),"Has favored another candidate")</f>
        <v>Has favored another candidate</v>
      </c>
      <c r="I570" s="5" t="str">
        <f>IFERROR(__xludf.DUMMYFUNCTION("IF(V570&lt;&gt;"""", GOOGLETRANSLATE(V570, ""RO"", ""EN""), """")"),"")</f>
        <v/>
      </c>
      <c r="J570" s="5" t="str">
        <f>IFERROR(__xludf.DUMMYFUNCTION("IF(W570&lt;&gt;"""", GOOGLETRANSLATE(W570, ""RO"", ""EN""), """")"),"")</f>
        <v/>
      </c>
      <c r="K570" s="5" t="str">
        <f>IFERROR(__xludf.DUMMYFUNCTION("IF(X570&lt;&gt;"""", GOOGLETRANSLATE(X570, ""RO"", ""EN""), """")"),"")</f>
        <v/>
      </c>
      <c r="L570" s="5" t="str">
        <f>IFERROR(__xludf.DUMMYFUNCTION("IF(S570&lt;&gt;"""", GOOGLETRANSLATE(S570, ""RO"", ""EN""), """")"),"Ns")</f>
        <v>Ns</v>
      </c>
      <c r="M570" s="5" t="str">
        <f>IFERROR(__xludf.DUMMYFUNCTION("IF(T570&lt;&gt;"""", GOOGLETRANSLATE(T570, ""RO"", ""EN""), """")"),"No.")</f>
        <v>No.</v>
      </c>
      <c r="N570" s="5" t="str">
        <f>IFERROR(__xludf.DUMMYFUNCTION("IF(Y570&lt;&gt;"""", GOOGLETRANSLATE(Y570, ""RO"", ""EN""), """")"),"")</f>
        <v/>
      </c>
      <c r="O570" s="4" t="s">
        <v>1624</v>
      </c>
      <c r="P570" s="4" t="s">
        <v>1625</v>
      </c>
      <c r="Q570" s="4" t="s">
        <v>1626</v>
      </c>
      <c r="R570" s="4" t="s">
        <v>1627</v>
      </c>
      <c r="S570" s="4" t="s">
        <v>103</v>
      </c>
      <c r="T570" s="4" t="s">
        <v>104</v>
      </c>
      <c r="U570" s="4" t="s">
        <v>1628</v>
      </c>
    </row>
    <row r="571" ht="15.75" customHeight="1">
      <c r="A571" s="4" t="s">
        <v>1632</v>
      </c>
      <c r="B571" s="4" t="s">
        <v>1609</v>
      </c>
      <c r="C571" s="4" t="str">
        <f>IFERROR(__xludf.DUMMYFUNCTION("GOOGLETRANSLATE(B571, ""RO"", ""EN"")"),"Otv")</f>
        <v>Otv</v>
      </c>
      <c r="D571" s="5" t="str">
        <f>IFERROR(__xludf.DUMMYFUNCTION("IF(O571&lt;&gt;"""", GOOGLETRANSLATE(O571, ""RO"", ""EN""), """")"),"Has not favored anyone")</f>
        <v>Has not favored anyone</v>
      </c>
      <c r="E571" s="6" t="str">
        <f>IFERROR(__xludf.DUMMYFUNCTION("IF(P571&lt;&gt;"""", GOOGLETRANSLATE(P571, ""RO"", ""EN""), """")"),"He favored Traian Basescu")</f>
        <v>He favored Traian Basescu</v>
      </c>
      <c r="F571" s="5" t="str">
        <f>IFERROR(__xludf.DUMMYFUNCTION("IF(Q571&lt;&gt;"""", GOOGLETRANSLATE(Q571, ""RO"", ""EN""), """")"),"Favored Mircea Geoana")</f>
        <v>Favored Mircea Geoana</v>
      </c>
      <c r="G571" s="5" t="str">
        <f>IFERROR(__xludf.DUMMYFUNCTION("IF(R571&lt;&gt;"""", GOOGLETRANSLATE(R571, ""RO"", ""EN""), """")"),"He favored Crin Antonescu")</f>
        <v>He favored Crin Antonescu</v>
      </c>
      <c r="H571" s="5" t="str">
        <f>IFERROR(__xludf.DUMMYFUNCTION("IF(U571&lt;&gt;"""", GOOGLETRANSLATE(U571, ""RO"", ""EN""), """")"),"Has favored another candidate")</f>
        <v>Has favored another candidate</v>
      </c>
      <c r="I571" s="5" t="str">
        <f>IFERROR(__xludf.DUMMYFUNCTION("IF(V571&lt;&gt;"""", GOOGLETRANSLATE(V571, ""RO"", ""EN""), """")"),"")</f>
        <v/>
      </c>
      <c r="J571" s="5" t="str">
        <f>IFERROR(__xludf.DUMMYFUNCTION("IF(W571&lt;&gt;"""", GOOGLETRANSLATE(W571, ""RO"", ""EN""), """")"),"")</f>
        <v/>
      </c>
      <c r="K571" s="5" t="str">
        <f>IFERROR(__xludf.DUMMYFUNCTION("IF(X571&lt;&gt;"""", GOOGLETRANSLATE(X571, ""RO"", ""EN""), """")"),"")</f>
        <v/>
      </c>
      <c r="L571" s="5" t="str">
        <f>IFERROR(__xludf.DUMMYFUNCTION("IF(S571&lt;&gt;"""", GOOGLETRANSLATE(S571, ""RO"", ""EN""), """")"),"Ns")</f>
        <v>Ns</v>
      </c>
      <c r="M571" s="5" t="str">
        <f>IFERROR(__xludf.DUMMYFUNCTION("IF(T571&lt;&gt;"""", GOOGLETRANSLATE(T571, ""RO"", ""EN""), """")"),"No.")</f>
        <v>No.</v>
      </c>
      <c r="N571" s="5" t="str">
        <f>IFERROR(__xludf.DUMMYFUNCTION("IF(Y571&lt;&gt;"""", GOOGLETRANSLATE(Y571, ""RO"", ""EN""), """")"),"")</f>
        <v/>
      </c>
      <c r="O571" s="4" t="s">
        <v>1624</v>
      </c>
      <c r="P571" s="4" t="s">
        <v>1625</v>
      </c>
      <c r="Q571" s="4" t="s">
        <v>1626</v>
      </c>
      <c r="R571" s="4" t="s">
        <v>1627</v>
      </c>
      <c r="S571" s="4" t="s">
        <v>103</v>
      </c>
      <c r="T571" s="4" t="s">
        <v>104</v>
      </c>
      <c r="U571" s="4" t="s">
        <v>1628</v>
      </c>
    </row>
    <row r="572" ht="15.75" customHeight="1">
      <c r="A572" s="4" t="s">
        <v>1633</v>
      </c>
      <c r="B572" s="4" t="s">
        <v>1611</v>
      </c>
      <c r="C572" s="4" t="str">
        <f>IFERROR(__xludf.DUMMYFUNCTION("GOOGLETRANSLATE(B572, ""RO"", ""EN"")"),"Another post")</f>
        <v>Another post</v>
      </c>
      <c r="D572" s="5" t="str">
        <f>IFERROR(__xludf.DUMMYFUNCTION("IF(O572&lt;&gt;"""", GOOGLETRANSLATE(O572, ""RO"", ""EN""), """")"),"Has not favored anyone")</f>
        <v>Has not favored anyone</v>
      </c>
      <c r="E572" s="6" t="str">
        <f>IFERROR(__xludf.DUMMYFUNCTION("IF(P572&lt;&gt;"""", GOOGLETRANSLATE(P572, ""RO"", ""EN""), """")"),"He favored Traian Basescu")</f>
        <v>He favored Traian Basescu</v>
      </c>
      <c r="F572" s="5" t="str">
        <f>IFERROR(__xludf.DUMMYFUNCTION("IF(Q572&lt;&gt;"""", GOOGLETRANSLATE(Q572, ""RO"", ""EN""), """")"),"Favored Mircea Geoana")</f>
        <v>Favored Mircea Geoana</v>
      </c>
      <c r="G572" s="5" t="str">
        <f>IFERROR(__xludf.DUMMYFUNCTION("IF(R572&lt;&gt;"""", GOOGLETRANSLATE(R572, ""RO"", ""EN""), """")"),"He favored Crin Antonescu")</f>
        <v>He favored Crin Antonescu</v>
      </c>
      <c r="H572" s="5" t="str">
        <f>IFERROR(__xludf.DUMMYFUNCTION("IF(U572&lt;&gt;"""", GOOGLETRANSLATE(U572, ""RO"", ""EN""), """")"),"Has favored another candidate")</f>
        <v>Has favored another candidate</v>
      </c>
      <c r="I572" s="5" t="str">
        <f>IFERROR(__xludf.DUMMYFUNCTION("IF(V572&lt;&gt;"""", GOOGLETRANSLATE(V572, ""RO"", ""EN""), """")"),"")</f>
        <v/>
      </c>
      <c r="J572" s="5" t="str">
        <f>IFERROR(__xludf.DUMMYFUNCTION("IF(W572&lt;&gt;"""", GOOGLETRANSLATE(W572, ""RO"", ""EN""), """")"),"")</f>
        <v/>
      </c>
      <c r="K572" s="5" t="str">
        <f>IFERROR(__xludf.DUMMYFUNCTION("IF(X572&lt;&gt;"""", GOOGLETRANSLATE(X572, ""RO"", ""EN""), """")"),"")</f>
        <v/>
      </c>
      <c r="L572" s="5" t="str">
        <f>IFERROR(__xludf.DUMMYFUNCTION("IF(S572&lt;&gt;"""", GOOGLETRANSLATE(S572, ""RO"", ""EN""), """")"),"Ns")</f>
        <v>Ns</v>
      </c>
      <c r="M572" s="5" t="str">
        <f>IFERROR(__xludf.DUMMYFUNCTION("IF(T572&lt;&gt;"""", GOOGLETRANSLATE(T572, ""RO"", ""EN""), """")"),"No.")</f>
        <v>No.</v>
      </c>
      <c r="N572" s="5" t="str">
        <f>IFERROR(__xludf.DUMMYFUNCTION("IF(Y572&lt;&gt;"""", GOOGLETRANSLATE(Y572, ""RO"", ""EN""), """")"),"")</f>
        <v/>
      </c>
      <c r="O572" s="4" t="s">
        <v>1624</v>
      </c>
      <c r="P572" s="4" t="s">
        <v>1625</v>
      </c>
      <c r="Q572" s="4" t="s">
        <v>1626</v>
      </c>
      <c r="R572" s="4" t="s">
        <v>1627</v>
      </c>
      <c r="S572" s="4" t="s">
        <v>103</v>
      </c>
      <c r="T572" s="4" t="s">
        <v>104</v>
      </c>
      <c r="U572" s="4" t="s">
        <v>1628</v>
      </c>
    </row>
    <row r="573" ht="15.75" customHeight="1">
      <c r="A573" s="4" t="s">
        <v>1634</v>
      </c>
      <c r="B573" s="4" t="s">
        <v>1635</v>
      </c>
      <c r="C573" s="4" t="str">
        <f>IFERROR(__xludf.DUMMYFUNCTION("GOOGLETRANSLATE(B573, ""RO"", ""EN"")"),"On a scale from 0 to 10, where 0 means ""not"" and 10 means ""entirely"", do you consider that the news programs of the television stations in Romania ....? they are interesting")</f>
        <v>On a scale from 0 to 10, where 0 means "not" and 10 means "entirely", do you consider that the news programs of the television stations in Romania ....? they are interesting</v>
      </c>
      <c r="D573" s="5" t="str">
        <f>IFERROR(__xludf.DUMMYFUNCTION("IF(O573&lt;&gt;"""", GOOGLETRANSLATE(O573, ""RO"", ""EN""), """")"),"Not at all")</f>
        <v>Not at all</v>
      </c>
      <c r="E573" s="6" t="str">
        <f>IFERROR(__xludf.DUMMYFUNCTION("IF(P573&lt;&gt;"""", GOOGLETRANSLATE(P573, ""RO"", ""EN""), """")"),"1")</f>
        <v>1</v>
      </c>
      <c r="F573" s="5" t="str">
        <f>IFERROR(__xludf.DUMMYFUNCTION("IF(Q573&lt;&gt;"""", GOOGLETRANSLATE(Q573, ""RO"", ""EN""), """")"),"2")</f>
        <v>2</v>
      </c>
      <c r="G573" s="5" t="str">
        <f>IFERROR(__xludf.DUMMYFUNCTION("IF(R573&lt;&gt;"""", GOOGLETRANSLATE(R573, ""RO"", ""EN""), """")"),"3")</f>
        <v>3</v>
      </c>
      <c r="H573" s="5" t="str">
        <f>IFERROR(__xludf.DUMMYFUNCTION("IF(U573&lt;&gt;"""", GOOGLETRANSLATE(U573, ""RO"", ""EN""), """")"),"4")</f>
        <v>4</v>
      </c>
      <c r="I573" s="5" t="str">
        <f>IFERROR(__xludf.DUMMYFUNCTION("IF(V573&lt;&gt;"""", GOOGLETRANSLATE(V573, ""RO"", ""EN""), """")"),"5")</f>
        <v>5</v>
      </c>
      <c r="J573" s="5" t="str">
        <f>IFERROR(__xludf.DUMMYFUNCTION("IF(W573&lt;&gt;"""", GOOGLETRANSLATE(W573, ""RO"", ""EN""), """")"),"6")</f>
        <v>6</v>
      </c>
      <c r="K573" s="5" t="str">
        <f>IFERROR(__xludf.DUMMYFUNCTION("IF(X573&lt;&gt;"""", GOOGLETRANSLATE(X573, ""RO"", ""EN""), """")"),"7")</f>
        <v>7</v>
      </c>
      <c r="L573" s="5" t="str">
        <f>IFERROR(__xludf.DUMMYFUNCTION("IF(S573&lt;&gt;"""", GOOGLETRANSLATE(S573, ""RO"", ""EN""), """")"),"8")</f>
        <v>8</v>
      </c>
      <c r="M573" s="5" t="str">
        <f>IFERROR(__xludf.DUMMYFUNCTION("IF(T573&lt;&gt;"""", GOOGLETRANSLATE(T573, ""RO"", ""EN""), """")"),"9")</f>
        <v>9</v>
      </c>
      <c r="N573" s="5" t="str">
        <f>IFERROR(__xludf.DUMMYFUNCTION("IF(Y573&lt;&gt;"""", GOOGLETRANSLATE(Y573, ""RO"", ""EN""), """")"),"Fully")</f>
        <v>Fully</v>
      </c>
      <c r="O573" s="4" t="s">
        <v>363</v>
      </c>
      <c r="P573" s="4" t="s">
        <v>168</v>
      </c>
      <c r="Q573" s="4" t="s">
        <v>169</v>
      </c>
      <c r="R573" s="4" t="s">
        <v>170</v>
      </c>
      <c r="S573" s="4" t="s">
        <v>171</v>
      </c>
      <c r="T573" s="4" t="s">
        <v>172</v>
      </c>
      <c r="U573" s="4" t="s">
        <v>173</v>
      </c>
      <c r="V573" s="4" t="s">
        <v>174</v>
      </c>
      <c r="W573" s="4" t="s">
        <v>175</v>
      </c>
      <c r="X573" s="4" t="s">
        <v>176</v>
      </c>
      <c r="Y573" s="4" t="s">
        <v>364</v>
      </c>
      <c r="AB573" s="4" t="s">
        <v>104</v>
      </c>
      <c r="BP573" s="4" t="s">
        <v>103</v>
      </c>
    </row>
    <row r="574" ht="15.75" customHeight="1">
      <c r="A574" s="4" t="s">
        <v>1636</v>
      </c>
      <c r="B574" s="4" t="s">
        <v>1637</v>
      </c>
      <c r="C574" s="4" t="str">
        <f>IFERROR(__xludf.DUMMYFUNCTION("GOOGLETRANSLATE(B574, ""RO"", ""EN"")"),"... offers the information you need")</f>
        <v>... offers the information you need</v>
      </c>
      <c r="D574" s="5" t="str">
        <f>IFERROR(__xludf.DUMMYFUNCTION("IF(O574&lt;&gt;"""", GOOGLETRANSLATE(O574, ""RO"", ""EN""), """")"),"Not at all")</f>
        <v>Not at all</v>
      </c>
      <c r="E574" s="6" t="str">
        <f>IFERROR(__xludf.DUMMYFUNCTION("IF(P574&lt;&gt;"""", GOOGLETRANSLATE(P574, ""RO"", ""EN""), """")"),"1")</f>
        <v>1</v>
      </c>
      <c r="F574" s="5" t="str">
        <f>IFERROR(__xludf.DUMMYFUNCTION("IF(Q574&lt;&gt;"""", GOOGLETRANSLATE(Q574, ""RO"", ""EN""), """")"),"2")</f>
        <v>2</v>
      </c>
      <c r="G574" s="5" t="str">
        <f>IFERROR(__xludf.DUMMYFUNCTION("IF(R574&lt;&gt;"""", GOOGLETRANSLATE(R574, ""RO"", ""EN""), """")"),"3")</f>
        <v>3</v>
      </c>
      <c r="H574" s="5" t="str">
        <f>IFERROR(__xludf.DUMMYFUNCTION("IF(U574&lt;&gt;"""", GOOGLETRANSLATE(U574, ""RO"", ""EN""), """")"),"4")</f>
        <v>4</v>
      </c>
      <c r="I574" s="5" t="str">
        <f>IFERROR(__xludf.DUMMYFUNCTION("IF(V574&lt;&gt;"""", GOOGLETRANSLATE(V574, ""RO"", ""EN""), """")"),"5")</f>
        <v>5</v>
      </c>
      <c r="J574" s="5" t="str">
        <f>IFERROR(__xludf.DUMMYFUNCTION("IF(W574&lt;&gt;"""", GOOGLETRANSLATE(W574, ""RO"", ""EN""), """")"),"6")</f>
        <v>6</v>
      </c>
      <c r="K574" s="5" t="str">
        <f>IFERROR(__xludf.DUMMYFUNCTION("IF(X574&lt;&gt;"""", GOOGLETRANSLATE(X574, ""RO"", ""EN""), """")"),"7")</f>
        <v>7</v>
      </c>
      <c r="L574" s="5" t="str">
        <f>IFERROR(__xludf.DUMMYFUNCTION("IF(S574&lt;&gt;"""", GOOGLETRANSLATE(S574, ""RO"", ""EN""), """")"),"8")</f>
        <v>8</v>
      </c>
      <c r="M574" s="5" t="str">
        <f>IFERROR(__xludf.DUMMYFUNCTION("IF(T574&lt;&gt;"""", GOOGLETRANSLATE(T574, ""RO"", ""EN""), """")"),"9")</f>
        <v>9</v>
      </c>
      <c r="N574" s="5" t="str">
        <f>IFERROR(__xludf.DUMMYFUNCTION("IF(Y574&lt;&gt;"""", GOOGLETRANSLATE(Y574, ""RO"", ""EN""), """")"),"Fully")</f>
        <v>Fully</v>
      </c>
      <c r="O574" s="4" t="s">
        <v>363</v>
      </c>
      <c r="P574" s="4" t="s">
        <v>168</v>
      </c>
      <c r="Q574" s="4" t="s">
        <v>169</v>
      </c>
      <c r="R574" s="4" t="s">
        <v>170</v>
      </c>
      <c r="S574" s="4" t="s">
        <v>171</v>
      </c>
      <c r="T574" s="4" t="s">
        <v>172</v>
      </c>
      <c r="U574" s="4" t="s">
        <v>173</v>
      </c>
      <c r="V574" s="4" t="s">
        <v>174</v>
      </c>
      <c r="W574" s="4" t="s">
        <v>175</v>
      </c>
      <c r="X574" s="4" t="s">
        <v>176</v>
      </c>
      <c r="Y574" s="4" t="s">
        <v>364</v>
      </c>
      <c r="AB574" s="4" t="s">
        <v>104</v>
      </c>
      <c r="BP574" s="4" t="s">
        <v>103</v>
      </c>
    </row>
    <row r="575" ht="15.75" customHeight="1">
      <c r="A575" s="4" t="s">
        <v>1638</v>
      </c>
      <c r="B575" s="4" t="s">
        <v>1639</v>
      </c>
      <c r="C575" s="4" t="str">
        <f>IFERROR(__xludf.DUMMYFUNCTION("GOOGLETRANSLATE(B575, ""RO"", ""EN"")"),"... presents the facts as it actually happens")</f>
        <v>... presents the facts as it actually happens</v>
      </c>
      <c r="D575" s="5" t="str">
        <f>IFERROR(__xludf.DUMMYFUNCTION("IF(O575&lt;&gt;"""", GOOGLETRANSLATE(O575, ""RO"", ""EN""), """")"),"Not at all")</f>
        <v>Not at all</v>
      </c>
      <c r="E575" s="6" t="str">
        <f>IFERROR(__xludf.DUMMYFUNCTION("IF(P575&lt;&gt;"""", GOOGLETRANSLATE(P575, ""RO"", ""EN""), """")"),"1")</f>
        <v>1</v>
      </c>
      <c r="F575" s="5" t="str">
        <f>IFERROR(__xludf.DUMMYFUNCTION("IF(Q575&lt;&gt;"""", GOOGLETRANSLATE(Q575, ""RO"", ""EN""), """")"),"2")</f>
        <v>2</v>
      </c>
      <c r="G575" s="5" t="str">
        <f>IFERROR(__xludf.DUMMYFUNCTION("IF(R575&lt;&gt;"""", GOOGLETRANSLATE(R575, ""RO"", ""EN""), """")"),"3")</f>
        <v>3</v>
      </c>
      <c r="H575" s="5" t="str">
        <f>IFERROR(__xludf.DUMMYFUNCTION("IF(U575&lt;&gt;"""", GOOGLETRANSLATE(U575, ""RO"", ""EN""), """")"),"4")</f>
        <v>4</v>
      </c>
      <c r="I575" s="5" t="str">
        <f>IFERROR(__xludf.DUMMYFUNCTION("IF(V575&lt;&gt;"""", GOOGLETRANSLATE(V575, ""RO"", ""EN""), """")"),"5")</f>
        <v>5</v>
      </c>
      <c r="J575" s="5" t="str">
        <f>IFERROR(__xludf.DUMMYFUNCTION("IF(W575&lt;&gt;"""", GOOGLETRANSLATE(W575, ""RO"", ""EN""), """")"),"6")</f>
        <v>6</v>
      </c>
      <c r="K575" s="5" t="str">
        <f>IFERROR(__xludf.DUMMYFUNCTION("IF(X575&lt;&gt;"""", GOOGLETRANSLATE(X575, ""RO"", ""EN""), """")"),"7")</f>
        <v>7</v>
      </c>
      <c r="L575" s="5" t="str">
        <f>IFERROR(__xludf.DUMMYFUNCTION("IF(S575&lt;&gt;"""", GOOGLETRANSLATE(S575, ""RO"", ""EN""), """")"),"8")</f>
        <v>8</v>
      </c>
      <c r="M575" s="5" t="str">
        <f>IFERROR(__xludf.DUMMYFUNCTION("IF(T575&lt;&gt;"""", GOOGLETRANSLATE(T575, ""RO"", ""EN""), """")"),"9")</f>
        <v>9</v>
      </c>
      <c r="N575" s="5" t="str">
        <f>IFERROR(__xludf.DUMMYFUNCTION("IF(Y575&lt;&gt;"""", GOOGLETRANSLATE(Y575, ""RO"", ""EN""), """")"),"Fully")</f>
        <v>Fully</v>
      </c>
      <c r="O575" s="4" t="s">
        <v>363</v>
      </c>
      <c r="P575" s="4" t="s">
        <v>168</v>
      </c>
      <c r="Q575" s="4" t="s">
        <v>169</v>
      </c>
      <c r="R575" s="4" t="s">
        <v>170</v>
      </c>
      <c r="S575" s="4" t="s">
        <v>171</v>
      </c>
      <c r="T575" s="4" t="s">
        <v>172</v>
      </c>
      <c r="U575" s="4" t="s">
        <v>173</v>
      </c>
      <c r="V575" s="4" t="s">
        <v>174</v>
      </c>
      <c r="W575" s="4" t="s">
        <v>175</v>
      </c>
      <c r="X575" s="4" t="s">
        <v>176</v>
      </c>
      <c r="Y575" s="4" t="s">
        <v>364</v>
      </c>
      <c r="AB575" s="4" t="s">
        <v>104</v>
      </c>
      <c r="BP575" s="4" t="s">
        <v>103</v>
      </c>
    </row>
    <row r="576" ht="15.75" customHeight="1">
      <c r="A576" s="4" t="s">
        <v>1640</v>
      </c>
      <c r="B576" s="4" t="s">
        <v>1641</v>
      </c>
      <c r="C576" s="4" t="str">
        <f>IFERROR(__xludf.DUMMYFUNCTION("GOOGLETRANSLATE(B576, ""RO"", ""EN"")"),"... favors certain parties or candidates")</f>
        <v>... favors certain parties or candidates</v>
      </c>
      <c r="D576" s="5" t="str">
        <f>IFERROR(__xludf.DUMMYFUNCTION("IF(O576&lt;&gt;"""", GOOGLETRANSLATE(O576, ""RO"", ""EN""), """")"),"Not at all")</f>
        <v>Not at all</v>
      </c>
      <c r="E576" s="6" t="str">
        <f>IFERROR(__xludf.DUMMYFUNCTION("IF(P576&lt;&gt;"""", GOOGLETRANSLATE(P576, ""RO"", ""EN""), """")"),"1")</f>
        <v>1</v>
      </c>
      <c r="F576" s="5" t="str">
        <f>IFERROR(__xludf.DUMMYFUNCTION("IF(Q576&lt;&gt;"""", GOOGLETRANSLATE(Q576, ""RO"", ""EN""), """")"),"2")</f>
        <v>2</v>
      </c>
      <c r="G576" s="5" t="str">
        <f>IFERROR(__xludf.DUMMYFUNCTION("IF(R576&lt;&gt;"""", GOOGLETRANSLATE(R576, ""RO"", ""EN""), """")"),"3")</f>
        <v>3</v>
      </c>
      <c r="H576" s="5" t="str">
        <f>IFERROR(__xludf.DUMMYFUNCTION("IF(U576&lt;&gt;"""", GOOGLETRANSLATE(U576, ""RO"", ""EN""), """")"),"4")</f>
        <v>4</v>
      </c>
      <c r="I576" s="5" t="str">
        <f>IFERROR(__xludf.DUMMYFUNCTION("IF(V576&lt;&gt;"""", GOOGLETRANSLATE(V576, ""RO"", ""EN""), """")"),"5")</f>
        <v>5</v>
      </c>
      <c r="J576" s="5" t="str">
        <f>IFERROR(__xludf.DUMMYFUNCTION("IF(W576&lt;&gt;"""", GOOGLETRANSLATE(W576, ""RO"", ""EN""), """")"),"6")</f>
        <v>6</v>
      </c>
      <c r="K576" s="5" t="str">
        <f>IFERROR(__xludf.DUMMYFUNCTION("IF(X576&lt;&gt;"""", GOOGLETRANSLATE(X576, ""RO"", ""EN""), """")"),"7")</f>
        <v>7</v>
      </c>
      <c r="L576" s="5" t="str">
        <f>IFERROR(__xludf.DUMMYFUNCTION("IF(S576&lt;&gt;"""", GOOGLETRANSLATE(S576, ""RO"", ""EN""), """")"),"8")</f>
        <v>8</v>
      </c>
      <c r="M576" s="5" t="str">
        <f>IFERROR(__xludf.DUMMYFUNCTION("IF(T576&lt;&gt;"""", GOOGLETRANSLATE(T576, ""RO"", ""EN""), """")"),"9")</f>
        <v>9</v>
      </c>
      <c r="N576" s="5" t="str">
        <f>IFERROR(__xludf.DUMMYFUNCTION("IF(Y576&lt;&gt;"""", GOOGLETRANSLATE(Y576, ""RO"", ""EN""), """")"),"Fully")</f>
        <v>Fully</v>
      </c>
      <c r="O576" s="4" t="s">
        <v>363</v>
      </c>
      <c r="P576" s="4" t="s">
        <v>168</v>
      </c>
      <c r="Q576" s="4" t="s">
        <v>169</v>
      </c>
      <c r="R576" s="4" t="s">
        <v>170</v>
      </c>
      <c r="S576" s="4" t="s">
        <v>171</v>
      </c>
      <c r="T576" s="4" t="s">
        <v>172</v>
      </c>
      <c r="U576" s="4" t="s">
        <v>173</v>
      </c>
      <c r="V576" s="4" t="s">
        <v>174</v>
      </c>
      <c r="W576" s="4" t="s">
        <v>175</v>
      </c>
      <c r="X576" s="4" t="s">
        <v>176</v>
      </c>
      <c r="Y576" s="4" t="s">
        <v>364</v>
      </c>
      <c r="AB576" s="4" t="s">
        <v>104</v>
      </c>
      <c r="BP576" s="4" t="s">
        <v>103</v>
      </c>
    </row>
    <row r="577" ht="15.75" customHeight="1">
      <c r="A577" s="4" t="s">
        <v>1642</v>
      </c>
      <c r="B577" s="4" t="s">
        <v>1643</v>
      </c>
      <c r="C577" s="4" t="str">
        <f>IFERROR(__xludf.DUMMYFUNCTION("GOOGLETRANSLATE(B577, ""RO"", ""EN"")"),"... they are professional")</f>
        <v>... they are professional</v>
      </c>
      <c r="D577" s="5" t="str">
        <f>IFERROR(__xludf.DUMMYFUNCTION("IF(O577&lt;&gt;"""", GOOGLETRANSLATE(O577, ""RO"", ""EN""), """")"),"Not at all")</f>
        <v>Not at all</v>
      </c>
      <c r="E577" s="6" t="str">
        <f>IFERROR(__xludf.DUMMYFUNCTION("IF(P577&lt;&gt;"""", GOOGLETRANSLATE(P577, ""RO"", ""EN""), """")"),"1")</f>
        <v>1</v>
      </c>
      <c r="F577" s="5" t="str">
        <f>IFERROR(__xludf.DUMMYFUNCTION("IF(Q577&lt;&gt;"""", GOOGLETRANSLATE(Q577, ""RO"", ""EN""), """")"),"2")</f>
        <v>2</v>
      </c>
      <c r="G577" s="5" t="str">
        <f>IFERROR(__xludf.DUMMYFUNCTION("IF(R577&lt;&gt;"""", GOOGLETRANSLATE(R577, ""RO"", ""EN""), """")"),"3")</f>
        <v>3</v>
      </c>
      <c r="H577" s="5" t="str">
        <f>IFERROR(__xludf.DUMMYFUNCTION("IF(U577&lt;&gt;"""", GOOGLETRANSLATE(U577, ""RO"", ""EN""), """")"),"4")</f>
        <v>4</v>
      </c>
      <c r="I577" s="5" t="str">
        <f>IFERROR(__xludf.DUMMYFUNCTION("IF(V577&lt;&gt;"""", GOOGLETRANSLATE(V577, ""RO"", ""EN""), """")"),"5")</f>
        <v>5</v>
      </c>
      <c r="J577" s="5" t="str">
        <f>IFERROR(__xludf.DUMMYFUNCTION("IF(W577&lt;&gt;"""", GOOGLETRANSLATE(W577, ""RO"", ""EN""), """")"),"6")</f>
        <v>6</v>
      </c>
      <c r="K577" s="5" t="str">
        <f>IFERROR(__xludf.DUMMYFUNCTION("IF(X577&lt;&gt;"""", GOOGLETRANSLATE(X577, ""RO"", ""EN""), """")"),"7")</f>
        <v>7</v>
      </c>
      <c r="L577" s="5" t="str">
        <f>IFERROR(__xludf.DUMMYFUNCTION("IF(S577&lt;&gt;"""", GOOGLETRANSLATE(S577, ""RO"", ""EN""), """")"),"8")</f>
        <v>8</v>
      </c>
      <c r="M577" s="5" t="str">
        <f>IFERROR(__xludf.DUMMYFUNCTION("IF(T577&lt;&gt;"""", GOOGLETRANSLATE(T577, ""RO"", ""EN""), """")"),"9")</f>
        <v>9</v>
      </c>
      <c r="N577" s="5" t="str">
        <f>IFERROR(__xludf.DUMMYFUNCTION("IF(Y577&lt;&gt;"""", GOOGLETRANSLATE(Y577, ""RO"", ""EN""), """")"),"Fully")</f>
        <v>Fully</v>
      </c>
      <c r="O577" s="4" t="s">
        <v>363</v>
      </c>
      <c r="P577" s="4" t="s">
        <v>168</v>
      </c>
      <c r="Q577" s="4" t="s">
        <v>169</v>
      </c>
      <c r="R577" s="4" t="s">
        <v>170</v>
      </c>
      <c r="S577" s="4" t="s">
        <v>171</v>
      </c>
      <c r="T577" s="4" t="s">
        <v>172</v>
      </c>
      <c r="U577" s="4" t="s">
        <v>173</v>
      </c>
      <c r="V577" s="4" t="s">
        <v>174</v>
      </c>
      <c r="W577" s="4" t="s">
        <v>175</v>
      </c>
      <c r="X577" s="4" t="s">
        <v>176</v>
      </c>
      <c r="Y577" s="4" t="s">
        <v>364</v>
      </c>
      <c r="AB577" s="4" t="s">
        <v>104</v>
      </c>
      <c r="BP577" s="4" t="s">
        <v>103</v>
      </c>
    </row>
    <row r="578" ht="15.75" customHeight="1">
      <c r="A578" s="4" t="s">
        <v>1644</v>
      </c>
      <c r="B578" s="4" t="s">
        <v>1645</v>
      </c>
      <c r="C578" s="4" t="str">
        <f>IFERROR(__xludf.DUMMYFUNCTION("GOOGLETRANSLATE(B578, ""RO"", ""EN"")"),". I will read you a series of statements about the media (TV, radio, newspapers) and I will please tell me to what extent you agree with each of them. The media ... is important for the functioning of democracy in Romania")</f>
        <v>. I will read you a series of statements about the media (TV, radio, newspapers) and I will please tell me to what extent you agree with each of them. The media ... is important for the functioning of democracy in Romania</v>
      </c>
      <c r="D578" s="5" t="str">
        <f>IFERROR(__xludf.DUMMYFUNCTION("IF(O578&lt;&gt;"""", GOOGLETRANSLATE(O578, ""RO"", ""EN""), """")"),"Total disagreement")</f>
        <v>Total disagreement</v>
      </c>
      <c r="E578" s="6" t="str">
        <f>IFERROR(__xludf.DUMMYFUNCTION("IF(P578&lt;&gt;"""", GOOGLETRANSLATE(P578, ""RO"", ""EN""), """")"),"Disagreement")</f>
        <v>Disagreement</v>
      </c>
      <c r="F578" s="5" t="str">
        <f>IFERROR(__xludf.DUMMYFUNCTION("IF(Q578&lt;&gt;"""", GOOGLETRANSLATE(Q578, ""RO"", ""EN""), """")"),"Agree")</f>
        <v>Agree</v>
      </c>
      <c r="G578" s="5" t="str">
        <f>IFERROR(__xludf.DUMMYFUNCTION("IF(R578&lt;&gt;"""", GOOGLETRANSLATE(R578, ""RO"", ""EN""), """")"),"Totally agree")</f>
        <v>Totally agree</v>
      </c>
      <c r="H578" s="5" t="str">
        <f>IFERROR(__xludf.DUMMYFUNCTION("IF(U578&lt;&gt;"""", GOOGLETRANSLATE(U578, ""RO"", ""EN""), """")"),"")</f>
        <v/>
      </c>
      <c r="I578" s="5" t="str">
        <f>IFERROR(__xludf.DUMMYFUNCTION("IF(V578&lt;&gt;"""", GOOGLETRANSLATE(V578, ""RO"", ""EN""), """")"),"")</f>
        <v/>
      </c>
      <c r="J578" s="5" t="str">
        <f>IFERROR(__xludf.DUMMYFUNCTION("IF(W578&lt;&gt;"""", GOOGLETRANSLATE(W578, ""RO"", ""EN""), """")"),"")</f>
        <v/>
      </c>
      <c r="K578" s="5" t="str">
        <f>IFERROR(__xludf.DUMMYFUNCTION("IF(X578&lt;&gt;"""", GOOGLETRANSLATE(X578, ""RO"", ""EN""), """")"),"")</f>
        <v/>
      </c>
      <c r="L578" s="5" t="str">
        <f>IFERROR(__xludf.DUMMYFUNCTION("IF(S578&lt;&gt;"""", GOOGLETRANSLATE(S578, ""RO"", ""EN""), """")"),"Ns")</f>
        <v>Ns</v>
      </c>
      <c r="M578" s="5" t="str">
        <f>IFERROR(__xludf.DUMMYFUNCTION("IF(T578&lt;&gt;"""", GOOGLETRANSLATE(T578, ""RO"", ""EN""), """")"),"No.")</f>
        <v>No.</v>
      </c>
      <c r="N578" s="5" t="str">
        <f>IFERROR(__xludf.DUMMYFUNCTION("IF(Y578&lt;&gt;"""", GOOGLETRANSLATE(Y578, ""RO"", ""EN""), """")"),"")</f>
        <v/>
      </c>
      <c r="O578" s="4" t="s">
        <v>660</v>
      </c>
      <c r="P578" s="4" t="s">
        <v>661</v>
      </c>
      <c r="Q578" s="4" t="s">
        <v>662</v>
      </c>
      <c r="R578" s="4" t="s">
        <v>663</v>
      </c>
      <c r="S578" s="4" t="s">
        <v>103</v>
      </c>
      <c r="T578" s="4" t="s">
        <v>104</v>
      </c>
    </row>
    <row r="579" ht="15.75" customHeight="1">
      <c r="A579" s="4" t="s">
        <v>1646</v>
      </c>
      <c r="B579" s="4" t="s">
        <v>1647</v>
      </c>
      <c r="C579" s="4" t="str">
        <f>IFERROR(__xludf.DUMMYFUNCTION("GOOGLETRANSLATE(B579, ""RO"", ""EN"")"),"influences the content of the important decisions for Romania that politicians take")</f>
        <v>influences the content of the important decisions for Romania that politicians take</v>
      </c>
      <c r="D579" s="5" t="str">
        <f>IFERROR(__xludf.DUMMYFUNCTION("IF(O579&lt;&gt;"""", GOOGLETRANSLATE(O579, ""RO"", ""EN""), """")"),"Total disagreement")</f>
        <v>Total disagreement</v>
      </c>
      <c r="E579" s="6" t="str">
        <f>IFERROR(__xludf.DUMMYFUNCTION("IF(P579&lt;&gt;"""", GOOGLETRANSLATE(P579, ""RO"", ""EN""), """")"),"Disagreement")</f>
        <v>Disagreement</v>
      </c>
      <c r="F579" s="5" t="str">
        <f>IFERROR(__xludf.DUMMYFUNCTION("IF(Q579&lt;&gt;"""", GOOGLETRANSLATE(Q579, ""RO"", ""EN""), """")"),"Agree")</f>
        <v>Agree</v>
      </c>
      <c r="G579" s="5" t="str">
        <f>IFERROR(__xludf.DUMMYFUNCTION("IF(R579&lt;&gt;"""", GOOGLETRANSLATE(R579, ""RO"", ""EN""), """")"),"Totally agree")</f>
        <v>Totally agree</v>
      </c>
      <c r="H579" s="5" t="str">
        <f>IFERROR(__xludf.DUMMYFUNCTION("IF(U579&lt;&gt;"""", GOOGLETRANSLATE(U579, ""RO"", ""EN""), """")"),"")</f>
        <v/>
      </c>
      <c r="I579" s="5" t="str">
        <f>IFERROR(__xludf.DUMMYFUNCTION("IF(V579&lt;&gt;"""", GOOGLETRANSLATE(V579, ""RO"", ""EN""), """")"),"")</f>
        <v/>
      </c>
      <c r="J579" s="5" t="str">
        <f>IFERROR(__xludf.DUMMYFUNCTION("IF(W579&lt;&gt;"""", GOOGLETRANSLATE(W579, ""RO"", ""EN""), """")"),"")</f>
        <v/>
      </c>
      <c r="K579" s="5" t="str">
        <f>IFERROR(__xludf.DUMMYFUNCTION("IF(X579&lt;&gt;"""", GOOGLETRANSLATE(X579, ""RO"", ""EN""), """")"),"")</f>
        <v/>
      </c>
      <c r="L579" s="5" t="str">
        <f>IFERROR(__xludf.DUMMYFUNCTION("IF(S579&lt;&gt;"""", GOOGLETRANSLATE(S579, ""RO"", ""EN""), """")"),"Ns")</f>
        <v>Ns</v>
      </c>
      <c r="M579" s="5" t="str">
        <f>IFERROR(__xludf.DUMMYFUNCTION("IF(T579&lt;&gt;"""", GOOGLETRANSLATE(T579, ""RO"", ""EN""), """")"),"No.")</f>
        <v>No.</v>
      </c>
      <c r="N579" s="5" t="str">
        <f>IFERROR(__xludf.DUMMYFUNCTION("IF(Y579&lt;&gt;"""", GOOGLETRANSLATE(Y579, ""RO"", ""EN""), """")"),"")</f>
        <v/>
      </c>
      <c r="O579" s="4" t="s">
        <v>660</v>
      </c>
      <c r="P579" s="4" t="s">
        <v>661</v>
      </c>
      <c r="Q579" s="4" t="s">
        <v>662</v>
      </c>
      <c r="R579" s="4" t="s">
        <v>663</v>
      </c>
      <c r="S579" s="4" t="s">
        <v>103</v>
      </c>
      <c r="T579" s="4" t="s">
        <v>104</v>
      </c>
    </row>
    <row r="580" ht="15.75" customHeight="1">
      <c r="A580" s="4" t="s">
        <v>1648</v>
      </c>
      <c r="B580" s="4" t="s">
        <v>1649</v>
      </c>
      <c r="C580" s="4" t="str">
        <f>IFERROR(__xludf.DUMMYFUNCTION("GOOGLETRANSLATE(B580, ""RO"", ""EN"")"),"must provide information about events not to comment")</f>
        <v>must provide information about events not to comment</v>
      </c>
      <c r="D580" s="5" t="str">
        <f>IFERROR(__xludf.DUMMYFUNCTION("IF(O580&lt;&gt;"""", GOOGLETRANSLATE(O580, ""RO"", ""EN""), """")"),"Total disagreement")</f>
        <v>Total disagreement</v>
      </c>
      <c r="E580" s="6" t="str">
        <f>IFERROR(__xludf.DUMMYFUNCTION("IF(P580&lt;&gt;"""", GOOGLETRANSLATE(P580, ""RO"", ""EN""), """")"),"Disagreement")</f>
        <v>Disagreement</v>
      </c>
      <c r="F580" s="5" t="str">
        <f>IFERROR(__xludf.DUMMYFUNCTION("IF(Q580&lt;&gt;"""", GOOGLETRANSLATE(Q580, ""RO"", ""EN""), """")"),"Agree")</f>
        <v>Agree</v>
      </c>
      <c r="G580" s="5" t="str">
        <f>IFERROR(__xludf.DUMMYFUNCTION("IF(R580&lt;&gt;"""", GOOGLETRANSLATE(R580, ""RO"", ""EN""), """")"),"Totally agree")</f>
        <v>Totally agree</v>
      </c>
      <c r="H580" s="5" t="str">
        <f>IFERROR(__xludf.DUMMYFUNCTION("IF(U580&lt;&gt;"""", GOOGLETRANSLATE(U580, ""RO"", ""EN""), """")"),"")</f>
        <v/>
      </c>
      <c r="I580" s="5" t="str">
        <f>IFERROR(__xludf.DUMMYFUNCTION("IF(V580&lt;&gt;"""", GOOGLETRANSLATE(V580, ""RO"", ""EN""), """")"),"")</f>
        <v/>
      </c>
      <c r="J580" s="5" t="str">
        <f>IFERROR(__xludf.DUMMYFUNCTION("IF(W580&lt;&gt;"""", GOOGLETRANSLATE(W580, ""RO"", ""EN""), """")"),"")</f>
        <v/>
      </c>
      <c r="K580" s="5" t="str">
        <f>IFERROR(__xludf.DUMMYFUNCTION("IF(X580&lt;&gt;"""", GOOGLETRANSLATE(X580, ""RO"", ""EN""), """")"),"")</f>
        <v/>
      </c>
      <c r="L580" s="5" t="str">
        <f>IFERROR(__xludf.DUMMYFUNCTION("IF(S580&lt;&gt;"""", GOOGLETRANSLATE(S580, ""RO"", ""EN""), """")"),"Ns")</f>
        <v>Ns</v>
      </c>
      <c r="M580" s="5" t="str">
        <f>IFERROR(__xludf.DUMMYFUNCTION("IF(T580&lt;&gt;"""", GOOGLETRANSLATE(T580, ""RO"", ""EN""), """")"),"No.")</f>
        <v>No.</v>
      </c>
      <c r="N580" s="5" t="str">
        <f>IFERROR(__xludf.DUMMYFUNCTION("IF(Y580&lt;&gt;"""", GOOGLETRANSLATE(Y580, ""RO"", ""EN""), """")"),"")</f>
        <v/>
      </c>
      <c r="O580" s="4" t="s">
        <v>660</v>
      </c>
      <c r="P580" s="4" t="s">
        <v>661</v>
      </c>
      <c r="Q580" s="4" t="s">
        <v>662</v>
      </c>
      <c r="R580" s="4" t="s">
        <v>663</v>
      </c>
      <c r="S580" s="4" t="s">
        <v>103</v>
      </c>
      <c r="T580" s="4" t="s">
        <v>104</v>
      </c>
    </row>
    <row r="581" ht="15.75" customHeight="1">
      <c r="A581" s="4" t="s">
        <v>1650</v>
      </c>
      <c r="B581" s="4" t="s">
        <v>1651</v>
      </c>
      <c r="C581" s="4" t="str">
        <f>IFERROR(__xludf.DUMMYFUNCTION("GOOGLETRANSLATE(B581, ""RO"", ""EN"")"),"must criticize political power")</f>
        <v>must criticize political power</v>
      </c>
      <c r="D581" s="5" t="str">
        <f>IFERROR(__xludf.DUMMYFUNCTION("IF(O581&lt;&gt;"""", GOOGLETRANSLATE(O581, ""RO"", ""EN""), """")"),"Total disagreement")</f>
        <v>Total disagreement</v>
      </c>
      <c r="E581" s="6" t="str">
        <f>IFERROR(__xludf.DUMMYFUNCTION("IF(P581&lt;&gt;"""", GOOGLETRANSLATE(P581, ""RO"", ""EN""), """")"),"Disagreement")</f>
        <v>Disagreement</v>
      </c>
      <c r="F581" s="5" t="str">
        <f>IFERROR(__xludf.DUMMYFUNCTION("IF(Q581&lt;&gt;"""", GOOGLETRANSLATE(Q581, ""RO"", ""EN""), """")"),"Agree")</f>
        <v>Agree</v>
      </c>
      <c r="G581" s="5" t="str">
        <f>IFERROR(__xludf.DUMMYFUNCTION("IF(R581&lt;&gt;"""", GOOGLETRANSLATE(R581, ""RO"", ""EN""), """")"),"Totally agree")</f>
        <v>Totally agree</v>
      </c>
      <c r="H581" s="5" t="str">
        <f>IFERROR(__xludf.DUMMYFUNCTION("IF(U581&lt;&gt;"""", GOOGLETRANSLATE(U581, ""RO"", ""EN""), """")"),"")</f>
        <v/>
      </c>
      <c r="I581" s="5" t="str">
        <f>IFERROR(__xludf.DUMMYFUNCTION("IF(V581&lt;&gt;"""", GOOGLETRANSLATE(V581, ""RO"", ""EN""), """")"),"")</f>
        <v/>
      </c>
      <c r="J581" s="5" t="str">
        <f>IFERROR(__xludf.DUMMYFUNCTION("IF(W581&lt;&gt;"""", GOOGLETRANSLATE(W581, ""RO"", ""EN""), """")"),"")</f>
        <v/>
      </c>
      <c r="K581" s="5" t="str">
        <f>IFERROR(__xludf.DUMMYFUNCTION("IF(X581&lt;&gt;"""", GOOGLETRANSLATE(X581, ""RO"", ""EN""), """")"),"")</f>
        <v/>
      </c>
      <c r="L581" s="5" t="str">
        <f>IFERROR(__xludf.DUMMYFUNCTION("IF(S581&lt;&gt;"""", GOOGLETRANSLATE(S581, ""RO"", ""EN""), """")"),"Ns")</f>
        <v>Ns</v>
      </c>
      <c r="M581" s="5" t="str">
        <f>IFERROR(__xludf.DUMMYFUNCTION("IF(T581&lt;&gt;"""", GOOGLETRANSLATE(T581, ""RO"", ""EN""), """")"),"No.")</f>
        <v>No.</v>
      </c>
      <c r="N581" s="5" t="str">
        <f>IFERROR(__xludf.DUMMYFUNCTION("IF(Y581&lt;&gt;"""", GOOGLETRANSLATE(Y581, ""RO"", ""EN""), """")"),"")</f>
        <v/>
      </c>
      <c r="O581" s="4" t="s">
        <v>660</v>
      </c>
      <c r="P581" s="4" t="s">
        <v>661</v>
      </c>
      <c r="Q581" s="4" t="s">
        <v>662</v>
      </c>
      <c r="R581" s="4" t="s">
        <v>663</v>
      </c>
      <c r="S581" s="4" t="s">
        <v>103</v>
      </c>
      <c r="T581" s="4" t="s">
        <v>104</v>
      </c>
    </row>
    <row r="582" ht="15.75" customHeight="1">
      <c r="A582" s="4" t="s">
        <v>1652</v>
      </c>
      <c r="B582" s="4" t="s">
        <v>1653</v>
      </c>
      <c r="C582" s="4" t="str">
        <f>IFERROR(__xludf.DUMMYFUNCTION("GOOGLETRANSLATE(B582, ""RO"", ""EN"")"),"Private must take into account the interests of the employers")</f>
        <v>Private must take into account the interests of the employers</v>
      </c>
      <c r="D582" s="5" t="str">
        <f>IFERROR(__xludf.DUMMYFUNCTION("IF(O582&lt;&gt;"""", GOOGLETRANSLATE(O582, ""RO"", ""EN""), """")"),"Total disagreement")</f>
        <v>Total disagreement</v>
      </c>
      <c r="E582" s="6" t="str">
        <f>IFERROR(__xludf.DUMMYFUNCTION("IF(P582&lt;&gt;"""", GOOGLETRANSLATE(P582, ""RO"", ""EN""), """")"),"Disagreement")</f>
        <v>Disagreement</v>
      </c>
      <c r="F582" s="5" t="str">
        <f>IFERROR(__xludf.DUMMYFUNCTION("IF(Q582&lt;&gt;"""", GOOGLETRANSLATE(Q582, ""RO"", ""EN""), """")"),"Agree")</f>
        <v>Agree</v>
      </c>
      <c r="G582" s="5" t="str">
        <f>IFERROR(__xludf.DUMMYFUNCTION("IF(R582&lt;&gt;"""", GOOGLETRANSLATE(R582, ""RO"", ""EN""), """")"),"Totally agree")</f>
        <v>Totally agree</v>
      </c>
      <c r="H582" s="5" t="str">
        <f>IFERROR(__xludf.DUMMYFUNCTION("IF(U582&lt;&gt;"""", GOOGLETRANSLATE(U582, ""RO"", ""EN""), """")"),"")</f>
        <v/>
      </c>
      <c r="I582" s="5" t="str">
        <f>IFERROR(__xludf.DUMMYFUNCTION("IF(V582&lt;&gt;"""", GOOGLETRANSLATE(V582, ""RO"", ""EN""), """")"),"")</f>
        <v/>
      </c>
      <c r="J582" s="5" t="str">
        <f>IFERROR(__xludf.DUMMYFUNCTION("IF(W582&lt;&gt;"""", GOOGLETRANSLATE(W582, ""RO"", ""EN""), """")"),"")</f>
        <v/>
      </c>
      <c r="K582" s="5" t="str">
        <f>IFERROR(__xludf.DUMMYFUNCTION("IF(X582&lt;&gt;"""", GOOGLETRANSLATE(X582, ""RO"", ""EN""), """")"),"")</f>
        <v/>
      </c>
      <c r="L582" s="5" t="str">
        <f>IFERROR(__xludf.DUMMYFUNCTION("IF(S582&lt;&gt;"""", GOOGLETRANSLATE(S582, ""RO"", ""EN""), """")"),"Ns")</f>
        <v>Ns</v>
      </c>
      <c r="M582" s="5" t="str">
        <f>IFERROR(__xludf.DUMMYFUNCTION("IF(T582&lt;&gt;"""", GOOGLETRANSLATE(T582, ""RO"", ""EN""), """")"),"No.")</f>
        <v>No.</v>
      </c>
      <c r="N582" s="5" t="str">
        <f>IFERROR(__xludf.DUMMYFUNCTION("IF(Y582&lt;&gt;"""", GOOGLETRANSLATE(Y582, ""RO"", ""EN""), """")"),"")</f>
        <v/>
      </c>
      <c r="O582" s="4" t="s">
        <v>660</v>
      </c>
      <c r="P582" s="4" t="s">
        <v>661</v>
      </c>
      <c r="Q582" s="4" t="s">
        <v>662</v>
      </c>
      <c r="R582" s="4" t="s">
        <v>663</v>
      </c>
      <c r="S582" s="4" t="s">
        <v>103</v>
      </c>
      <c r="T582" s="4" t="s">
        <v>104</v>
      </c>
    </row>
    <row r="583" ht="15.75" customHeight="1">
      <c r="A583" s="4" t="s">
        <v>1654</v>
      </c>
      <c r="B583" s="4" t="s">
        <v>1655</v>
      </c>
      <c r="C583" s="4" t="str">
        <f>IFERROR(__xludf.DUMMYFUNCTION("GOOGLETRANSLATE(B583, ""RO"", ""EN"")"),"To what extent do you think ...? Mass media (TV, radio, newspapers) in Romania serve the interests of citizens")</f>
        <v>To what extent do you think ...? Mass media (TV, radio, newspapers) in Romania serve the interests of citizens</v>
      </c>
      <c r="D583" s="5" t="str">
        <f>IFERROR(__xludf.DUMMYFUNCTION("IF(O583&lt;&gt;"""", GOOGLETRANSLATE(O583, ""RO"", ""EN""), """")"),"To a very little extent / not at all")</f>
        <v>To a very little extent / not at all</v>
      </c>
      <c r="E583" s="6" t="str">
        <f>IFERROR(__xludf.DUMMYFUNCTION("IF(P583&lt;&gt;"""", GOOGLETRANSLATE(P583, ""RO"", ""EN""), """")"),"To a small extent")</f>
        <v>To a small extent</v>
      </c>
      <c r="F583" s="5" t="str">
        <f>IFERROR(__xludf.DUMMYFUNCTION("IF(Q583&lt;&gt;"""", GOOGLETRANSLATE(Q583, ""RO"", ""EN""), """")"),"Largely")</f>
        <v>Largely</v>
      </c>
      <c r="G583" s="5" t="str">
        <f>IFERROR(__xludf.DUMMYFUNCTION("IF(R583&lt;&gt;"""", GOOGLETRANSLATE(R583, ""RO"", ""EN""), """")"),"To a great extent")</f>
        <v>To a great extent</v>
      </c>
      <c r="H583" s="5" t="str">
        <f>IFERROR(__xludf.DUMMYFUNCTION("IF(U583&lt;&gt;"""", GOOGLETRANSLATE(U583, ""RO"", ""EN""), """")"),"")</f>
        <v/>
      </c>
      <c r="I583" s="5" t="str">
        <f>IFERROR(__xludf.DUMMYFUNCTION("IF(V583&lt;&gt;"""", GOOGLETRANSLATE(V583, ""RO"", ""EN""), """")"),"")</f>
        <v/>
      </c>
      <c r="J583" s="5" t="str">
        <f>IFERROR(__xludf.DUMMYFUNCTION("IF(W583&lt;&gt;"""", GOOGLETRANSLATE(W583, ""RO"", ""EN""), """")"),"")</f>
        <v/>
      </c>
      <c r="K583" s="5" t="str">
        <f>IFERROR(__xludf.DUMMYFUNCTION("IF(X583&lt;&gt;"""", GOOGLETRANSLATE(X583, ""RO"", ""EN""), """")"),"")</f>
        <v/>
      </c>
      <c r="L583" s="5" t="str">
        <f>IFERROR(__xludf.DUMMYFUNCTION("IF(S583&lt;&gt;"""", GOOGLETRANSLATE(S583, ""RO"", ""EN""), """")"),"Ns")</f>
        <v>Ns</v>
      </c>
      <c r="M583" s="5" t="str">
        <f>IFERROR(__xludf.DUMMYFUNCTION("IF(T583&lt;&gt;"""", GOOGLETRANSLATE(T583, ""RO"", ""EN""), """")"),"No.")</f>
        <v>No.</v>
      </c>
      <c r="N583" s="5" t="str">
        <f>IFERROR(__xludf.DUMMYFUNCTION("IF(Y583&lt;&gt;"""", GOOGLETRANSLATE(Y583, ""RO"", ""EN""), """")"),"")</f>
        <v/>
      </c>
      <c r="O583" s="4" t="s">
        <v>1656</v>
      </c>
      <c r="P583" s="4" t="s">
        <v>1657</v>
      </c>
      <c r="Q583" s="4" t="s">
        <v>1658</v>
      </c>
      <c r="R583" s="4" t="s">
        <v>632</v>
      </c>
      <c r="S583" s="4" t="s">
        <v>103</v>
      </c>
      <c r="T583" s="4" t="s">
        <v>104</v>
      </c>
    </row>
    <row r="584" ht="15.75" customHeight="1">
      <c r="A584" s="4" t="s">
        <v>1659</v>
      </c>
      <c r="B584" s="4" t="s">
        <v>1660</v>
      </c>
      <c r="C584" s="4" t="str">
        <f>IFERROR(__xludf.DUMMYFUNCTION("GOOGLETRANSLATE(B584, ""RO"", ""EN"")"),"... Mass media helps combat corruption")</f>
        <v>... Mass media helps combat corruption</v>
      </c>
      <c r="D584" s="5" t="str">
        <f>IFERROR(__xludf.DUMMYFUNCTION("IF(O584&lt;&gt;"""", GOOGLETRANSLATE(O584, ""RO"", ""EN""), """")"),"To a very little extent / not at all")</f>
        <v>To a very little extent / not at all</v>
      </c>
      <c r="E584" s="6" t="str">
        <f>IFERROR(__xludf.DUMMYFUNCTION("IF(P584&lt;&gt;"""", GOOGLETRANSLATE(P584, ""RO"", ""EN""), """")"),"To a small extent")</f>
        <v>To a small extent</v>
      </c>
      <c r="F584" s="5" t="str">
        <f>IFERROR(__xludf.DUMMYFUNCTION("IF(Q584&lt;&gt;"""", GOOGLETRANSLATE(Q584, ""RO"", ""EN""), """")"),"Largely")</f>
        <v>Largely</v>
      </c>
      <c r="G584" s="5" t="str">
        <f>IFERROR(__xludf.DUMMYFUNCTION("IF(R584&lt;&gt;"""", GOOGLETRANSLATE(R584, ""RO"", ""EN""), """")"),"To a great extent")</f>
        <v>To a great extent</v>
      </c>
      <c r="H584" s="5" t="str">
        <f>IFERROR(__xludf.DUMMYFUNCTION("IF(U584&lt;&gt;"""", GOOGLETRANSLATE(U584, ""RO"", ""EN""), """")"),"")</f>
        <v/>
      </c>
      <c r="I584" s="5" t="str">
        <f>IFERROR(__xludf.DUMMYFUNCTION("IF(V584&lt;&gt;"""", GOOGLETRANSLATE(V584, ""RO"", ""EN""), """")"),"")</f>
        <v/>
      </c>
      <c r="J584" s="5" t="str">
        <f>IFERROR(__xludf.DUMMYFUNCTION("IF(W584&lt;&gt;"""", GOOGLETRANSLATE(W584, ""RO"", ""EN""), """")"),"")</f>
        <v/>
      </c>
      <c r="K584" s="5" t="str">
        <f>IFERROR(__xludf.DUMMYFUNCTION("IF(X584&lt;&gt;"""", GOOGLETRANSLATE(X584, ""RO"", ""EN""), """")"),"")</f>
        <v/>
      </c>
      <c r="L584" s="5" t="str">
        <f>IFERROR(__xludf.DUMMYFUNCTION("IF(S584&lt;&gt;"""", GOOGLETRANSLATE(S584, ""RO"", ""EN""), """")"),"Ns")</f>
        <v>Ns</v>
      </c>
      <c r="M584" s="5" t="str">
        <f>IFERROR(__xludf.DUMMYFUNCTION("IF(T584&lt;&gt;"""", GOOGLETRANSLATE(T584, ""RO"", ""EN""), """")"),"No.")</f>
        <v>No.</v>
      </c>
      <c r="N584" s="5" t="str">
        <f>IFERROR(__xludf.DUMMYFUNCTION("IF(Y584&lt;&gt;"""", GOOGLETRANSLATE(Y584, ""RO"", ""EN""), """")"),"")</f>
        <v/>
      </c>
      <c r="O584" s="4" t="s">
        <v>1656</v>
      </c>
      <c r="P584" s="4" t="s">
        <v>1657</v>
      </c>
      <c r="Q584" s="4" t="s">
        <v>1658</v>
      </c>
      <c r="R584" s="4" t="s">
        <v>632</v>
      </c>
      <c r="S584" s="4" t="s">
        <v>103</v>
      </c>
      <c r="T584" s="4" t="s">
        <v>104</v>
      </c>
    </row>
    <row r="585" ht="15.75" customHeight="1">
      <c r="A585" s="4" t="s">
        <v>1661</v>
      </c>
      <c r="B585" s="4" t="s">
        <v>1662</v>
      </c>
      <c r="C585" s="4" t="str">
        <f>IFERROR(__xludf.DUMMYFUNCTION("GOOGLETRANSLATE(B585, ""RO"", ""EN"")"),"... Romanian journalists are well trained professionally")</f>
        <v>... Romanian journalists are well trained professionally</v>
      </c>
      <c r="D585" s="5" t="str">
        <f>IFERROR(__xludf.DUMMYFUNCTION("IF(O585&lt;&gt;"""", GOOGLETRANSLATE(O585, ""RO"", ""EN""), """")"),"To a very little extent / not at all")</f>
        <v>To a very little extent / not at all</v>
      </c>
      <c r="E585" s="6" t="str">
        <f>IFERROR(__xludf.DUMMYFUNCTION("IF(P585&lt;&gt;"""", GOOGLETRANSLATE(P585, ""RO"", ""EN""), """")"),"To a small extent")</f>
        <v>To a small extent</v>
      </c>
      <c r="F585" s="5" t="str">
        <f>IFERROR(__xludf.DUMMYFUNCTION("IF(Q585&lt;&gt;"""", GOOGLETRANSLATE(Q585, ""RO"", ""EN""), """")"),"Largely")</f>
        <v>Largely</v>
      </c>
      <c r="G585" s="5" t="str">
        <f>IFERROR(__xludf.DUMMYFUNCTION("IF(R585&lt;&gt;"""", GOOGLETRANSLATE(R585, ""RO"", ""EN""), """")"),"To a great extent")</f>
        <v>To a great extent</v>
      </c>
      <c r="H585" s="5" t="str">
        <f>IFERROR(__xludf.DUMMYFUNCTION("IF(U585&lt;&gt;"""", GOOGLETRANSLATE(U585, ""RO"", ""EN""), """")"),"")</f>
        <v/>
      </c>
      <c r="I585" s="5" t="str">
        <f>IFERROR(__xludf.DUMMYFUNCTION("IF(V585&lt;&gt;"""", GOOGLETRANSLATE(V585, ""RO"", ""EN""), """")"),"")</f>
        <v/>
      </c>
      <c r="J585" s="5" t="str">
        <f>IFERROR(__xludf.DUMMYFUNCTION("IF(W585&lt;&gt;"""", GOOGLETRANSLATE(W585, ""RO"", ""EN""), """")"),"")</f>
        <v/>
      </c>
      <c r="K585" s="5" t="str">
        <f>IFERROR(__xludf.DUMMYFUNCTION("IF(X585&lt;&gt;"""", GOOGLETRANSLATE(X585, ""RO"", ""EN""), """")"),"")</f>
        <v/>
      </c>
      <c r="L585" s="5" t="str">
        <f>IFERROR(__xludf.DUMMYFUNCTION("IF(S585&lt;&gt;"""", GOOGLETRANSLATE(S585, ""RO"", ""EN""), """")"),"Ns")</f>
        <v>Ns</v>
      </c>
      <c r="M585" s="5" t="str">
        <f>IFERROR(__xludf.DUMMYFUNCTION("IF(T585&lt;&gt;"""", GOOGLETRANSLATE(T585, ""RO"", ""EN""), """")"),"No.")</f>
        <v>No.</v>
      </c>
      <c r="N585" s="5" t="str">
        <f>IFERROR(__xludf.DUMMYFUNCTION("IF(Y585&lt;&gt;"""", GOOGLETRANSLATE(Y585, ""RO"", ""EN""), """")"),"")</f>
        <v/>
      </c>
      <c r="O585" s="4" t="s">
        <v>1656</v>
      </c>
      <c r="P585" s="4" t="s">
        <v>1657</v>
      </c>
      <c r="Q585" s="4" t="s">
        <v>1658</v>
      </c>
      <c r="R585" s="4" t="s">
        <v>632</v>
      </c>
      <c r="S585" s="4" t="s">
        <v>103</v>
      </c>
      <c r="T585" s="4" t="s">
        <v>104</v>
      </c>
    </row>
    <row r="586" ht="15.75" customHeight="1">
      <c r="A586" s="4" t="s">
        <v>1663</v>
      </c>
      <c r="B586" s="4" t="s">
        <v>1664</v>
      </c>
      <c r="C586" s="4" t="str">
        <f>IFERROR(__xludf.DUMMYFUNCTION("GOOGLETRANSLATE(B586, ""RO"", ""EN"")"),"... the media is free to publish and say everything he wants")</f>
        <v>... the media is free to publish and say everything he wants</v>
      </c>
      <c r="D586" s="5" t="str">
        <f>IFERROR(__xludf.DUMMYFUNCTION("IF(O586&lt;&gt;"""", GOOGLETRANSLATE(O586, ""RO"", ""EN""), """")"),"To a very little extent / not at all")</f>
        <v>To a very little extent / not at all</v>
      </c>
      <c r="E586" s="6" t="str">
        <f>IFERROR(__xludf.DUMMYFUNCTION("IF(P586&lt;&gt;"""", GOOGLETRANSLATE(P586, ""RO"", ""EN""), """")"),"To a small extent")</f>
        <v>To a small extent</v>
      </c>
      <c r="F586" s="5" t="str">
        <f>IFERROR(__xludf.DUMMYFUNCTION("IF(Q586&lt;&gt;"""", GOOGLETRANSLATE(Q586, ""RO"", ""EN""), """")"),"Largely")</f>
        <v>Largely</v>
      </c>
      <c r="G586" s="5" t="str">
        <f>IFERROR(__xludf.DUMMYFUNCTION("IF(R586&lt;&gt;"""", GOOGLETRANSLATE(R586, ""RO"", ""EN""), """")"),"To a great extent")</f>
        <v>To a great extent</v>
      </c>
      <c r="H586" s="5" t="str">
        <f>IFERROR(__xludf.DUMMYFUNCTION("IF(U586&lt;&gt;"""", GOOGLETRANSLATE(U586, ""RO"", ""EN""), """")"),"")</f>
        <v/>
      </c>
      <c r="I586" s="5" t="str">
        <f>IFERROR(__xludf.DUMMYFUNCTION("IF(V586&lt;&gt;"""", GOOGLETRANSLATE(V586, ""RO"", ""EN""), """")"),"")</f>
        <v/>
      </c>
      <c r="J586" s="5" t="str">
        <f>IFERROR(__xludf.DUMMYFUNCTION("IF(W586&lt;&gt;"""", GOOGLETRANSLATE(W586, ""RO"", ""EN""), """")"),"")</f>
        <v/>
      </c>
      <c r="K586" s="5" t="str">
        <f>IFERROR(__xludf.DUMMYFUNCTION("IF(X586&lt;&gt;"""", GOOGLETRANSLATE(X586, ""RO"", ""EN""), """")"),"")</f>
        <v/>
      </c>
      <c r="L586" s="5" t="str">
        <f>IFERROR(__xludf.DUMMYFUNCTION("IF(S586&lt;&gt;"""", GOOGLETRANSLATE(S586, ""RO"", ""EN""), """")"),"Ns")</f>
        <v>Ns</v>
      </c>
      <c r="M586" s="5" t="str">
        <f>IFERROR(__xludf.DUMMYFUNCTION("IF(T586&lt;&gt;"""", GOOGLETRANSLATE(T586, ""RO"", ""EN""), """")"),"No.")</f>
        <v>No.</v>
      </c>
      <c r="N586" s="5" t="str">
        <f>IFERROR(__xludf.DUMMYFUNCTION("IF(Y586&lt;&gt;"""", GOOGLETRANSLATE(Y586, ""RO"", ""EN""), """")"),"")</f>
        <v/>
      </c>
      <c r="O586" s="4" t="s">
        <v>1656</v>
      </c>
      <c r="P586" s="4" t="s">
        <v>1657</v>
      </c>
      <c r="Q586" s="4" t="s">
        <v>1658</v>
      </c>
      <c r="R586" s="4" t="s">
        <v>632</v>
      </c>
      <c r="S586" s="4" t="s">
        <v>103</v>
      </c>
      <c r="T586" s="4" t="s">
        <v>104</v>
      </c>
    </row>
    <row r="587" ht="15.75" customHeight="1">
      <c r="A587" s="4" t="s">
        <v>1665</v>
      </c>
      <c r="B587" s="4" t="s">
        <v>1666</v>
      </c>
      <c r="C587" s="4" t="str">
        <f>IFERROR(__xludf.DUMMYFUNCTION("GOOGLETRANSLATE(B587, ""RO"", ""EN"")"),"... journalists and politicians are pursuing common interests")</f>
        <v>... journalists and politicians are pursuing common interests</v>
      </c>
      <c r="D587" s="5" t="str">
        <f>IFERROR(__xludf.DUMMYFUNCTION("IF(O587&lt;&gt;"""", GOOGLETRANSLATE(O587, ""RO"", ""EN""), """")"),"To a very little extent / not at all")</f>
        <v>To a very little extent / not at all</v>
      </c>
      <c r="E587" s="6" t="str">
        <f>IFERROR(__xludf.DUMMYFUNCTION("IF(P587&lt;&gt;"""", GOOGLETRANSLATE(P587, ""RO"", ""EN""), """")"),"To a small extent")</f>
        <v>To a small extent</v>
      </c>
      <c r="F587" s="5" t="str">
        <f>IFERROR(__xludf.DUMMYFUNCTION("IF(Q587&lt;&gt;"""", GOOGLETRANSLATE(Q587, ""RO"", ""EN""), """")"),"Largely")</f>
        <v>Largely</v>
      </c>
      <c r="G587" s="5" t="str">
        <f>IFERROR(__xludf.DUMMYFUNCTION("IF(R587&lt;&gt;"""", GOOGLETRANSLATE(R587, ""RO"", ""EN""), """")"),"To a great extent")</f>
        <v>To a great extent</v>
      </c>
      <c r="H587" s="5" t="str">
        <f>IFERROR(__xludf.DUMMYFUNCTION("IF(U587&lt;&gt;"""", GOOGLETRANSLATE(U587, ""RO"", ""EN""), """")"),"")</f>
        <v/>
      </c>
      <c r="I587" s="5" t="str">
        <f>IFERROR(__xludf.DUMMYFUNCTION("IF(V587&lt;&gt;"""", GOOGLETRANSLATE(V587, ""RO"", ""EN""), """")"),"")</f>
        <v/>
      </c>
      <c r="J587" s="5" t="str">
        <f>IFERROR(__xludf.DUMMYFUNCTION("IF(W587&lt;&gt;"""", GOOGLETRANSLATE(W587, ""RO"", ""EN""), """")"),"")</f>
        <v/>
      </c>
      <c r="K587" s="5" t="str">
        <f>IFERROR(__xludf.DUMMYFUNCTION("IF(X587&lt;&gt;"""", GOOGLETRANSLATE(X587, ""RO"", ""EN""), """")"),"")</f>
        <v/>
      </c>
      <c r="L587" s="5" t="str">
        <f>IFERROR(__xludf.DUMMYFUNCTION("IF(S587&lt;&gt;"""", GOOGLETRANSLATE(S587, ""RO"", ""EN""), """")"),"Ns")</f>
        <v>Ns</v>
      </c>
      <c r="M587" s="5" t="str">
        <f>IFERROR(__xludf.DUMMYFUNCTION("IF(T587&lt;&gt;"""", GOOGLETRANSLATE(T587, ""RO"", ""EN""), """")"),"No.")</f>
        <v>No.</v>
      </c>
      <c r="N587" s="5" t="str">
        <f>IFERROR(__xludf.DUMMYFUNCTION("IF(Y587&lt;&gt;"""", GOOGLETRANSLATE(Y587, ""RO"", ""EN""), """")"),"")</f>
        <v/>
      </c>
      <c r="O587" s="4" t="s">
        <v>1656</v>
      </c>
      <c r="P587" s="4" t="s">
        <v>1657</v>
      </c>
      <c r="Q587" s="4" t="s">
        <v>1658</v>
      </c>
      <c r="R587" s="4" t="s">
        <v>632</v>
      </c>
      <c r="S587" s="4" t="s">
        <v>103</v>
      </c>
      <c r="T587" s="4" t="s">
        <v>104</v>
      </c>
    </row>
    <row r="588" ht="15.75" customHeight="1">
      <c r="A588" s="4" t="s">
        <v>1667</v>
      </c>
      <c r="B588" s="4" t="s">
        <v>1668</v>
      </c>
      <c r="C588" s="4" t="str">
        <f>IFERROR(__xludf.DUMMYFUNCTION("GOOGLETRANSLATE(B588, ""RO"", ""EN"")"),"In your opinion, do TVs, radios and newspapers be owned by the state or in private property?")</f>
        <v>In your opinion, do TVs, radios and newspapers be owned by the state or in private property?</v>
      </c>
      <c r="D588" s="5" t="str">
        <f>IFERROR(__xludf.DUMMYFUNCTION("IF(O588&lt;&gt;"""", GOOGLETRANSLATE(O588, ""RO"", ""EN""), """")"),"Only the state")</f>
        <v>Only the state</v>
      </c>
      <c r="E588" s="6" t="str">
        <f>IFERROR(__xludf.DUMMYFUNCTION("IF(P588&lt;&gt;"""", GOOGLETRANSLATE(P588, ""RO"", ""EN""), """")"),"More than state than private")</f>
        <v>More than state than private</v>
      </c>
      <c r="F588" s="5" t="str">
        <f>IFERROR(__xludf.DUMMYFUNCTION("IF(Q588&lt;&gt;"""", GOOGLETRANSLATE(Q588, ""RO"", ""EN""), """")"),"More private than the state")</f>
        <v>More private than the state</v>
      </c>
      <c r="G588" s="5" t="str">
        <f>IFERROR(__xludf.DUMMYFUNCTION("IF(R588&lt;&gt;"""", GOOGLETRANSLATE(R588, ""RO"", ""EN""), """")"),"Only private")</f>
        <v>Only private</v>
      </c>
      <c r="H588" s="5" t="str">
        <f>IFERROR(__xludf.DUMMYFUNCTION("IF(U588&lt;&gt;"""", GOOGLETRANSLATE(U588, ""RO"", ""EN""), """")"),"")</f>
        <v/>
      </c>
      <c r="I588" s="5" t="str">
        <f>IFERROR(__xludf.DUMMYFUNCTION("IF(V588&lt;&gt;"""", GOOGLETRANSLATE(V588, ""RO"", ""EN""), """")"),"")</f>
        <v/>
      </c>
      <c r="J588" s="5" t="str">
        <f>IFERROR(__xludf.DUMMYFUNCTION("IF(W588&lt;&gt;"""", GOOGLETRANSLATE(W588, ""RO"", ""EN""), """")"),"")</f>
        <v/>
      </c>
      <c r="K588" s="5" t="str">
        <f>IFERROR(__xludf.DUMMYFUNCTION("IF(X588&lt;&gt;"""", GOOGLETRANSLATE(X588, ""RO"", ""EN""), """")"),"")</f>
        <v/>
      </c>
      <c r="L588" s="5" t="str">
        <f>IFERROR(__xludf.DUMMYFUNCTION("IF(S588&lt;&gt;"""", GOOGLETRANSLATE(S588, ""RO"", ""EN""), """")"),"Ns")</f>
        <v>Ns</v>
      </c>
      <c r="M588" s="5" t="str">
        <f>IFERROR(__xludf.DUMMYFUNCTION("IF(T588&lt;&gt;"""", GOOGLETRANSLATE(T588, ""RO"", ""EN""), """")"),"No.")</f>
        <v>No.</v>
      </c>
      <c r="N588" s="5" t="str">
        <f>IFERROR(__xludf.DUMMYFUNCTION("IF(Y588&lt;&gt;"""", GOOGLETRANSLATE(Y588, ""RO"", ""EN""), """")"),"")</f>
        <v/>
      </c>
      <c r="O588" s="4" t="s">
        <v>1669</v>
      </c>
      <c r="P588" s="4" t="s">
        <v>1670</v>
      </c>
      <c r="Q588" s="4" t="s">
        <v>1671</v>
      </c>
      <c r="R588" s="4" t="s">
        <v>1672</v>
      </c>
      <c r="S588" s="4" t="s">
        <v>103</v>
      </c>
      <c r="T588" s="4" t="s">
        <v>104</v>
      </c>
    </row>
    <row r="589" ht="15.75" customHeight="1">
      <c r="A589" s="4" t="s">
        <v>1673</v>
      </c>
      <c r="B589" s="4" t="s">
        <v>1674</v>
      </c>
      <c r="C589" s="4" t="str">
        <f>IFERROR(__xludf.DUMMYFUNCTION("GOOGLETRANSLATE(B589, ""RO"", ""EN"")"),"As far as you know, how many of the ... were voting in the 1st round of presidential elections? ... your family members and close relatives")</f>
        <v>As far as you know, how many of the ... were voting in the 1st round of presidential elections? ... your family members and close relatives</v>
      </c>
      <c r="D589" s="5" t="str">
        <f>IFERROR(__xludf.DUMMYFUNCTION("IF(O589&lt;&gt;"""", GOOGLETRANSLATE(O589, ""RO"", ""EN""), """")"),"")</f>
        <v/>
      </c>
      <c r="E589" s="6" t="str">
        <f>IFERROR(__xludf.DUMMYFUNCTION("IF(P589&lt;&gt;"""", GOOGLETRANSLATE(P589, ""RO"", ""EN""), """")"),"all / most")</f>
        <v>all / most</v>
      </c>
      <c r="F589" s="5" t="str">
        <f>IFERROR(__xludf.DUMMYFUNCTION("IF(Q589&lt;&gt;"""", GOOGLETRANSLATE(Q589, ""RO"", ""EN""), """")"),"about three quarters")</f>
        <v>about three quarters</v>
      </c>
      <c r="G589" s="5" t="str">
        <f>IFERROR(__xludf.DUMMYFUNCTION("IF(R589&lt;&gt;"""", GOOGLETRANSLATE(R589, ""RO"", ""EN""), """")"),"about half")</f>
        <v>about half</v>
      </c>
      <c r="H589" s="5" t="str">
        <f>IFERROR(__xludf.DUMMYFUNCTION("IF(U589&lt;&gt;"""", GOOGLETRANSLATE(U589, ""RO"", ""EN""), """")"),"about a quarter")</f>
        <v>about a quarter</v>
      </c>
      <c r="I589" s="5" t="str">
        <f>IFERROR(__xludf.DUMMYFUNCTION("IF(V589&lt;&gt;"""", GOOGLETRANSLATE(V589, ""RO"", ""EN""), """")"),"less than a quarter / none")</f>
        <v>less than a quarter / none</v>
      </c>
      <c r="J589" s="5" t="str">
        <f>IFERROR(__xludf.DUMMYFUNCTION("IF(W589&lt;&gt;"""", GOOGLETRANSLATE(W589, ""RO"", ""EN""), """")"),"")</f>
        <v/>
      </c>
      <c r="K589" s="5" t="str">
        <f>IFERROR(__xludf.DUMMYFUNCTION("IF(X589&lt;&gt;"""", GOOGLETRANSLATE(X589, ""RO"", ""EN""), """")"),"")</f>
        <v/>
      </c>
      <c r="L589" s="5" t="str">
        <f>IFERROR(__xludf.DUMMYFUNCTION("IF(S589&lt;&gt;"""", GOOGLETRANSLATE(S589, ""RO"", ""EN""), """")"),"Ns")</f>
        <v>Ns</v>
      </c>
      <c r="M589" s="5" t="str">
        <f>IFERROR(__xludf.DUMMYFUNCTION("IF(T589&lt;&gt;"""", GOOGLETRANSLATE(T589, ""RO"", ""EN""), """")"),"No.")</f>
        <v>No.</v>
      </c>
      <c r="N589" s="5" t="str">
        <f>IFERROR(__xludf.DUMMYFUNCTION("IF(Y589&lt;&gt;"""", GOOGLETRANSLATE(Y589, ""RO"", ""EN""), """")"),"")</f>
        <v/>
      </c>
      <c r="P589" s="4" t="s">
        <v>1675</v>
      </c>
      <c r="Q589" s="4" t="s">
        <v>1676</v>
      </c>
      <c r="R589" s="4" t="s">
        <v>1677</v>
      </c>
      <c r="S589" s="4" t="s">
        <v>103</v>
      </c>
      <c r="T589" s="4" t="s">
        <v>104</v>
      </c>
      <c r="U589" s="4" t="s">
        <v>1678</v>
      </c>
      <c r="V589" s="4" t="s">
        <v>1679</v>
      </c>
    </row>
    <row r="590" ht="15.75" customHeight="1">
      <c r="A590" s="4" t="s">
        <v>1680</v>
      </c>
      <c r="B590" s="4" t="s">
        <v>1681</v>
      </c>
      <c r="C590" s="4" t="str">
        <f>IFERROR(__xludf.DUMMYFUNCTION("GOOGLETRANSLATE(B590, ""RO"", ""EN"")"),"... friends, neighbors, your acquaintances.")</f>
        <v>... friends, neighbors, your acquaintances.</v>
      </c>
      <c r="D590" s="5" t="str">
        <f>IFERROR(__xludf.DUMMYFUNCTION("IF(O590&lt;&gt;"""", GOOGLETRANSLATE(O590, ""RO"", ""EN""), """")"),"")</f>
        <v/>
      </c>
      <c r="E590" s="6" t="str">
        <f>IFERROR(__xludf.DUMMYFUNCTION("IF(P590&lt;&gt;"""", GOOGLETRANSLATE(P590, ""RO"", ""EN""), """")"),"all / most")</f>
        <v>all / most</v>
      </c>
      <c r="F590" s="5" t="str">
        <f>IFERROR(__xludf.DUMMYFUNCTION("IF(Q590&lt;&gt;"""", GOOGLETRANSLATE(Q590, ""RO"", ""EN""), """")"),"about three quarters")</f>
        <v>about three quarters</v>
      </c>
      <c r="G590" s="5" t="str">
        <f>IFERROR(__xludf.DUMMYFUNCTION("IF(R590&lt;&gt;"""", GOOGLETRANSLATE(R590, ""RO"", ""EN""), """")"),"about half")</f>
        <v>about half</v>
      </c>
      <c r="H590" s="5" t="str">
        <f>IFERROR(__xludf.DUMMYFUNCTION("IF(U590&lt;&gt;"""", GOOGLETRANSLATE(U590, ""RO"", ""EN""), """")"),"about a quarter")</f>
        <v>about a quarter</v>
      </c>
      <c r="I590" s="5" t="str">
        <f>IFERROR(__xludf.DUMMYFUNCTION("IF(V590&lt;&gt;"""", GOOGLETRANSLATE(V590, ""RO"", ""EN""), """")"),"less than a quarter / none")</f>
        <v>less than a quarter / none</v>
      </c>
      <c r="J590" s="5" t="str">
        <f>IFERROR(__xludf.DUMMYFUNCTION("IF(W590&lt;&gt;"""", GOOGLETRANSLATE(W590, ""RO"", ""EN""), """")"),"")</f>
        <v/>
      </c>
      <c r="K590" s="5" t="str">
        <f>IFERROR(__xludf.DUMMYFUNCTION("IF(X590&lt;&gt;"""", GOOGLETRANSLATE(X590, ""RO"", ""EN""), """")"),"")</f>
        <v/>
      </c>
      <c r="L590" s="5" t="str">
        <f>IFERROR(__xludf.DUMMYFUNCTION("IF(S590&lt;&gt;"""", GOOGLETRANSLATE(S590, ""RO"", ""EN""), """")"),"Ns")</f>
        <v>Ns</v>
      </c>
      <c r="M590" s="5" t="str">
        <f>IFERROR(__xludf.DUMMYFUNCTION("IF(T590&lt;&gt;"""", GOOGLETRANSLATE(T590, ""RO"", ""EN""), """")"),"No.")</f>
        <v>No.</v>
      </c>
      <c r="N590" s="5" t="str">
        <f>IFERROR(__xludf.DUMMYFUNCTION("IF(Y590&lt;&gt;"""", GOOGLETRANSLATE(Y590, ""RO"", ""EN""), """")"),"")</f>
        <v/>
      </c>
      <c r="P590" s="4" t="s">
        <v>1675</v>
      </c>
      <c r="Q590" s="4" t="s">
        <v>1676</v>
      </c>
      <c r="R590" s="4" t="s">
        <v>1677</v>
      </c>
      <c r="S590" s="4" t="s">
        <v>103</v>
      </c>
      <c r="T590" s="4" t="s">
        <v>104</v>
      </c>
      <c r="U590" s="4" t="s">
        <v>1678</v>
      </c>
      <c r="V590" s="4" t="s">
        <v>1679</v>
      </c>
    </row>
    <row r="591" ht="15.75" customHeight="1">
      <c r="A591" s="4" t="s">
        <v>1682</v>
      </c>
      <c r="B591" s="4" t="s">
        <v>1683</v>
      </c>
      <c r="C591" s="4" t="str">
        <f>IFERROR(__xludf.DUMMYFUNCTION("GOOGLETRANSLATE(B591, ""RO"", ""EN"")"),"... Residents in your locality.")</f>
        <v>... Residents in your locality.</v>
      </c>
      <c r="D591" s="5" t="str">
        <f>IFERROR(__xludf.DUMMYFUNCTION("IF(O591&lt;&gt;"""", GOOGLETRANSLATE(O591, ""RO"", ""EN""), """")"),"")</f>
        <v/>
      </c>
      <c r="E591" s="6" t="str">
        <f>IFERROR(__xludf.DUMMYFUNCTION("IF(P591&lt;&gt;"""", GOOGLETRANSLATE(P591, ""RO"", ""EN""), """")"),"all / most")</f>
        <v>all / most</v>
      </c>
      <c r="F591" s="5" t="str">
        <f>IFERROR(__xludf.DUMMYFUNCTION("IF(Q591&lt;&gt;"""", GOOGLETRANSLATE(Q591, ""RO"", ""EN""), """")"),"about three quarters")</f>
        <v>about three quarters</v>
      </c>
      <c r="G591" s="5" t="str">
        <f>IFERROR(__xludf.DUMMYFUNCTION("IF(R591&lt;&gt;"""", GOOGLETRANSLATE(R591, ""RO"", ""EN""), """")"),"about half")</f>
        <v>about half</v>
      </c>
      <c r="H591" s="5" t="str">
        <f>IFERROR(__xludf.DUMMYFUNCTION("IF(U591&lt;&gt;"""", GOOGLETRANSLATE(U591, ""RO"", ""EN""), """")"),"about a quarter")</f>
        <v>about a quarter</v>
      </c>
      <c r="I591" s="5" t="str">
        <f>IFERROR(__xludf.DUMMYFUNCTION("IF(V591&lt;&gt;"""", GOOGLETRANSLATE(V591, ""RO"", ""EN""), """")"),"less than a quarter / none")</f>
        <v>less than a quarter / none</v>
      </c>
      <c r="J591" s="5" t="str">
        <f>IFERROR(__xludf.DUMMYFUNCTION("IF(W591&lt;&gt;"""", GOOGLETRANSLATE(W591, ""RO"", ""EN""), """")"),"")</f>
        <v/>
      </c>
      <c r="K591" s="5" t="str">
        <f>IFERROR(__xludf.DUMMYFUNCTION("IF(X591&lt;&gt;"""", GOOGLETRANSLATE(X591, ""RO"", ""EN""), """")"),"")</f>
        <v/>
      </c>
      <c r="L591" s="5" t="str">
        <f>IFERROR(__xludf.DUMMYFUNCTION("IF(S591&lt;&gt;"""", GOOGLETRANSLATE(S591, ""RO"", ""EN""), """")"),"Ns")</f>
        <v>Ns</v>
      </c>
      <c r="M591" s="5" t="str">
        <f>IFERROR(__xludf.DUMMYFUNCTION("IF(T591&lt;&gt;"""", GOOGLETRANSLATE(T591, ""RO"", ""EN""), """")"),"No.")</f>
        <v>No.</v>
      </c>
      <c r="N591" s="5" t="str">
        <f>IFERROR(__xludf.DUMMYFUNCTION("IF(Y591&lt;&gt;"""", GOOGLETRANSLATE(Y591, ""RO"", ""EN""), """")"),"")</f>
        <v/>
      </c>
      <c r="P591" s="4" t="s">
        <v>1675</v>
      </c>
      <c r="Q591" s="4" t="s">
        <v>1676</v>
      </c>
      <c r="R591" s="4" t="s">
        <v>1677</v>
      </c>
      <c r="S591" s="4" t="s">
        <v>103</v>
      </c>
      <c r="T591" s="4" t="s">
        <v>104</v>
      </c>
      <c r="U591" s="4" t="s">
        <v>1678</v>
      </c>
      <c r="V591" s="4" t="s">
        <v>1679</v>
      </c>
    </row>
    <row r="592" ht="15.75" customHeight="1">
      <c r="A592" s="4" t="s">
        <v>1684</v>
      </c>
      <c r="B592" s="4" t="s">
        <v>1685</v>
      </c>
      <c r="C592" s="4" t="str">
        <f>IFERROR(__xludf.DUMMYFUNCTION("GOOGLETRANSLATE(B592, ""RO"", ""EN"")"),". In general, do you think that the way things go to Romania depends on the result of the presidential elections? Use this scale to indicate the answer - 0 means that it does not depend at all on the result of the elections, and 10 that depends a lot.")</f>
        <v>. In general, do you think that the way things go to Romania depends on the result of the presidential elections? Use this scale to indicate the answer - 0 means that it does not depend at all on the result of the elections, and 10 that depends a lot.</v>
      </c>
      <c r="D592" s="5" t="str">
        <f>IFERROR(__xludf.DUMMYFUNCTION("IF(O592&lt;&gt;"""", GOOGLETRANSLATE(O592, ""RO"", ""EN""), """")"),"Not at all")</f>
        <v>Not at all</v>
      </c>
      <c r="E592" s="6" t="str">
        <f>IFERROR(__xludf.DUMMYFUNCTION("IF(P592&lt;&gt;"""", GOOGLETRANSLATE(P592, ""RO"", ""EN""), """")"),"1")</f>
        <v>1</v>
      </c>
      <c r="F592" s="5" t="str">
        <f>IFERROR(__xludf.DUMMYFUNCTION("IF(Q592&lt;&gt;"""", GOOGLETRANSLATE(Q592, ""RO"", ""EN""), """")"),"2")</f>
        <v>2</v>
      </c>
      <c r="G592" s="5" t="str">
        <f>IFERROR(__xludf.DUMMYFUNCTION("IF(R592&lt;&gt;"""", GOOGLETRANSLATE(R592, ""RO"", ""EN""), """")"),"3")</f>
        <v>3</v>
      </c>
      <c r="H592" s="5" t="str">
        <f>IFERROR(__xludf.DUMMYFUNCTION("IF(U592&lt;&gt;"""", GOOGLETRANSLATE(U592, ""RO"", ""EN""), """")"),"4")</f>
        <v>4</v>
      </c>
      <c r="I592" s="5" t="str">
        <f>IFERROR(__xludf.DUMMYFUNCTION("IF(V592&lt;&gt;"""", GOOGLETRANSLATE(V592, ""RO"", ""EN""), """")"),"5")</f>
        <v>5</v>
      </c>
      <c r="J592" s="5" t="str">
        <f>IFERROR(__xludf.DUMMYFUNCTION("IF(W592&lt;&gt;"""", GOOGLETRANSLATE(W592, ""RO"", ""EN""), """")"),"6")</f>
        <v>6</v>
      </c>
      <c r="K592" s="5" t="str">
        <f>IFERROR(__xludf.DUMMYFUNCTION("IF(X592&lt;&gt;"""", GOOGLETRANSLATE(X592, ""RO"", ""EN""), """")"),"7")</f>
        <v>7</v>
      </c>
      <c r="L592" s="5" t="str">
        <f>IFERROR(__xludf.DUMMYFUNCTION("IF(S592&lt;&gt;"""", GOOGLETRANSLATE(S592, ""RO"", ""EN""), """")"),"8")</f>
        <v>8</v>
      </c>
      <c r="M592" s="5" t="str">
        <f>IFERROR(__xludf.DUMMYFUNCTION("IF(T592&lt;&gt;"""", GOOGLETRANSLATE(T592, ""RO"", ""EN""), """")"),"9")</f>
        <v>9</v>
      </c>
      <c r="N592" s="5" t="str">
        <f>IFERROR(__xludf.DUMMYFUNCTION("IF(Y592&lt;&gt;"""", GOOGLETRANSLATE(Y592, ""RO"", ""EN""), """")"),"Very much")</f>
        <v>Very much</v>
      </c>
      <c r="O592" s="4" t="s">
        <v>363</v>
      </c>
      <c r="P592" s="4" t="s">
        <v>168</v>
      </c>
      <c r="Q592" s="4" t="s">
        <v>169</v>
      </c>
      <c r="R592" s="4" t="s">
        <v>170</v>
      </c>
      <c r="S592" s="4" t="s">
        <v>171</v>
      </c>
      <c r="T592" s="4" t="s">
        <v>172</v>
      </c>
      <c r="U592" s="4" t="s">
        <v>173</v>
      </c>
      <c r="V592" s="4" t="s">
        <v>174</v>
      </c>
      <c r="W592" s="4" t="s">
        <v>175</v>
      </c>
      <c r="X592" s="4" t="s">
        <v>176</v>
      </c>
      <c r="Y592" s="4" t="s">
        <v>608</v>
      </c>
      <c r="AA592" s="4" t="s">
        <v>103</v>
      </c>
      <c r="AB592" s="4" t="s">
        <v>104</v>
      </c>
    </row>
    <row r="593" ht="15.75" customHeight="1">
      <c r="A593" s="4" t="s">
        <v>1686</v>
      </c>
      <c r="B593" s="4" t="s">
        <v>1687</v>
      </c>
      <c r="C593" s="4" t="str">
        <f>IFERROR(__xludf.DUMMYFUNCTION("GOOGLETRANSLATE(B593, ""RO"", ""EN"")"),"In general, do you think your living level depends on the result of the presidential elections? Use this scale to indicate the answer - 0 means that it does not depend at all on the result of the elections, and 10 that depends a lot.")</f>
        <v>In general, do you think your living level depends on the result of the presidential elections? Use this scale to indicate the answer - 0 means that it does not depend at all on the result of the elections, and 10 that depends a lot.</v>
      </c>
      <c r="D593" s="5" t="str">
        <f>IFERROR(__xludf.DUMMYFUNCTION("IF(O593&lt;&gt;"""", GOOGLETRANSLATE(O593, ""RO"", ""EN""), """")"),"Not at all")</f>
        <v>Not at all</v>
      </c>
      <c r="E593" s="6" t="str">
        <f>IFERROR(__xludf.DUMMYFUNCTION("IF(P593&lt;&gt;"""", GOOGLETRANSLATE(P593, ""RO"", ""EN""), """")"),"1")</f>
        <v>1</v>
      </c>
      <c r="F593" s="5" t="str">
        <f>IFERROR(__xludf.DUMMYFUNCTION("IF(Q593&lt;&gt;"""", GOOGLETRANSLATE(Q593, ""RO"", ""EN""), """")"),"2")</f>
        <v>2</v>
      </c>
      <c r="G593" s="5" t="str">
        <f>IFERROR(__xludf.DUMMYFUNCTION("IF(R593&lt;&gt;"""", GOOGLETRANSLATE(R593, ""RO"", ""EN""), """")"),"3")</f>
        <v>3</v>
      </c>
      <c r="H593" s="5" t="str">
        <f>IFERROR(__xludf.DUMMYFUNCTION("IF(U593&lt;&gt;"""", GOOGLETRANSLATE(U593, ""RO"", ""EN""), """")"),"4")</f>
        <v>4</v>
      </c>
      <c r="I593" s="5" t="str">
        <f>IFERROR(__xludf.DUMMYFUNCTION("IF(V593&lt;&gt;"""", GOOGLETRANSLATE(V593, ""RO"", ""EN""), """")"),"5")</f>
        <v>5</v>
      </c>
      <c r="J593" s="5" t="str">
        <f>IFERROR(__xludf.DUMMYFUNCTION("IF(W593&lt;&gt;"""", GOOGLETRANSLATE(W593, ""RO"", ""EN""), """")"),"6")</f>
        <v>6</v>
      </c>
      <c r="K593" s="5" t="str">
        <f>IFERROR(__xludf.DUMMYFUNCTION("IF(X593&lt;&gt;"""", GOOGLETRANSLATE(X593, ""RO"", ""EN""), """")"),"7")</f>
        <v>7</v>
      </c>
      <c r="L593" s="5" t="str">
        <f>IFERROR(__xludf.DUMMYFUNCTION("IF(S593&lt;&gt;"""", GOOGLETRANSLATE(S593, ""RO"", ""EN""), """")"),"8")</f>
        <v>8</v>
      </c>
      <c r="M593" s="5" t="str">
        <f>IFERROR(__xludf.DUMMYFUNCTION("IF(T593&lt;&gt;"""", GOOGLETRANSLATE(T593, ""RO"", ""EN""), """")"),"9")</f>
        <v>9</v>
      </c>
      <c r="N593" s="5" t="str">
        <f>IFERROR(__xludf.DUMMYFUNCTION("IF(Y593&lt;&gt;"""", GOOGLETRANSLATE(Y593, ""RO"", ""EN""), """")"),"Very much")</f>
        <v>Very much</v>
      </c>
      <c r="O593" s="4" t="s">
        <v>363</v>
      </c>
      <c r="P593" s="4" t="s">
        <v>168</v>
      </c>
      <c r="Q593" s="4" t="s">
        <v>169</v>
      </c>
      <c r="R593" s="4" t="s">
        <v>170</v>
      </c>
      <c r="S593" s="4" t="s">
        <v>171</v>
      </c>
      <c r="T593" s="4" t="s">
        <v>172</v>
      </c>
      <c r="U593" s="4" t="s">
        <v>173</v>
      </c>
      <c r="V593" s="4" t="s">
        <v>174</v>
      </c>
      <c r="W593" s="4" t="s">
        <v>175</v>
      </c>
      <c r="X593" s="4" t="s">
        <v>176</v>
      </c>
      <c r="Y593" s="4" t="s">
        <v>608</v>
      </c>
      <c r="AA593" s="4" t="s">
        <v>103</v>
      </c>
      <c r="AB593" s="4" t="s">
        <v>104</v>
      </c>
    </row>
    <row r="594" ht="15.75" customHeight="1">
      <c r="A594" s="4" t="s">
        <v>1688</v>
      </c>
      <c r="B594" s="4" t="s">
        <v>1689</v>
      </c>
      <c r="C594" s="4" t="str">
        <f>IFERROR(__xludf.DUMMYFUNCTION("GOOGLETRANSLATE(B594, ""RO"", ""EN"")"),"On a scale from 0 to 10, where 0 means at all and 10 to a great extent, to what extent do you think that ... Romanian politicians are more concerned to fight each other than to follow the common interest")</f>
        <v>On a scale from 0 to 10, where 0 means at all and 10 to a great extent, to what extent do you think that ... Romanian politicians are more concerned to fight each other than to follow the common interest</v>
      </c>
      <c r="D594" s="5" t="str">
        <f>IFERROR(__xludf.DUMMYFUNCTION("IF(O594&lt;&gt;"""", GOOGLETRANSLATE(O594, ""RO"", ""EN""), """")"),"Not at all")</f>
        <v>Not at all</v>
      </c>
      <c r="E594" s="6" t="str">
        <f>IFERROR(__xludf.DUMMYFUNCTION("IF(P594&lt;&gt;"""", GOOGLETRANSLATE(P594, ""RO"", ""EN""), """")"),"1")</f>
        <v>1</v>
      </c>
      <c r="F594" s="5" t="str">
        <f>IFERROR(__xludf.DUMMYFUNCTION("IF(Q594&lt;&gt;"""", GOOGLETRANSLATE(Q594, ""RO"", ""EN""), """")"),"2")</f>
        <v>2</v>
      </c>
      <c r="G594" s="5" t="str">
        <f>IFERROR(__xludf.DUMMYFUNCTION("IF(R594&lt;&gt;"""", GOOGLETRANSLATE(R594, ""RO"", ""EN""), """")"),"3")</f>
        <v>3</v>
      </c>
      <c r="H594" s="5" t="str">
        <f>IFERROR(__xludf.DUMMYFUNCTION("IF(U594&lt;&gt;"""", GOOGLETRANSLATE(U594, ""RO"", ""EN""), """")"),"4")</f>
        <v>4</v>
      </c>
      <c r="I594" s="5" t="str">
        <f>IFERROR(__xludf.DUMMYFUNCTION("IF(V594&lt;&gt;"""", GOOGLETRANSLATE(V594, ""RO"", ""EN""), """")"),"5")</f>
        <v>5</v>
      </c>
      <c r="J594" s="5" t="str">
        <f>IFERROR(__xludf.DUMMYFUNCTION("IF(W594&lt;&gt;"""", GOOGLETRANSLATE(W594, ""RO"", ""EN""), """")"),"6")</f>
        <v>6</v>
      </c>
      <c r="K594" s="5" t="str">
        <f>IFERROR(__xludf.DUMMYFUNCTION("IF(X594&lt;&gt;"""", GOOGLETRANSLATE(X594, ""RO"", ""EN""), """")"),"7")</f>
        <v>7</v>
      </c>
      <c r="L594" s="5" t="str">
        <f>IFERROR(__xludf.DUMMYFUNCTION("IF(S594&lt;&gt;"""", GOOGLETRANSLATE(S594, ""RO"", ""EN""), """")"),"8")</f>
        <v>8</v>
      </c>
      <c r="M594" s="5" t="str">
        <f>IFERROR(__xludf.DUMMYFUNCTION("IF(T594&lt;&gt;"""", GOOGLETRANSLATE(T594, ""RO"", ""EN""), """")"),"9")</f>
        <v>9</v>
      </c>
      <c r="N594" s="5" t="str">
        <f>IFERROR(__xludf.DUMMYFUNCTION("IF(Y594&lt;&gt;"""", GOOGLETRANSLATE(Y594, ""RO"", ""EN""), """")"),"To a great extent")</f>
        <v>To a great extent</v>
      </c>
      <c r="O594" s="4" t="s">
        <v>363</v>
      </c>
      <c r="P594" s="4" t="s">
        <v>168</v>
      </c>
      <c r="Q594" s="4" t="s">
        <v>169</v>
      </c>
      <c r="R594" s="4" t="s">
        <v>170</v>
      </c>
      <c r="S594" s="4" t="s">
        <v>171</v>
      </c>
      <c r="T594" s="4" t="s">
        <v>172</v>
      </c>
      <c r="U594" s="4" t="s">
        <v>173</v>
      </c>
      <c r="V594" s="4" t="s">
        <v>174</v>
      </c>
      <c r="W594" s="4" t="s">
        <v>175</v>
      </c>
      <c r="X594" s="4" t="s">
        <v>176</v>
      </c>
      <c r="Y594" s="4" t="s">
        <v>632</v>
      </c>
      <c r="AA594" s="4" t="s">
        <v>103</v>
      </c>
      <c r="AB594" s="4" t="s">
        <v>104</v>
      </c>
    </row>
    <row r="595" ht="15.75" customHeight="1">
      <c r="A595" s="4" t="s">
        <v>1690</v>
      </c>
      <c r="B595" s="4" t="s">
        <v>1691</v>
      </c>
      <c r="C595" s="4" t="str">
        <f>IFERROR(__xludf.DUMMYFUNCTION("GOOGLETRANSLATE(B595, ""RO"", ""EN"")"),"Most politicians in Romania are the same, so it doesn't matter too much which of them are in power.")</f>
        <v>Most politicians in Romania are the same, so it doesn't matter too much which of them are in power.</v>
      </c>
      <c r="D595" s="5" t="str">
        <f>IFERROR(__xludf.DUMMYFUNCTION("IF(O595&lt;&gt;"""", GOOGLETRANSLATE(O595, ""RO"", ""EN""), """")"),"Not at all")</f>
        <v>Not at all</v>
      </c>
      <c r="E595" s="6" t="str">
        <f>IFERROR(__xludf.DUMMYFUNCTION("IF(P595&lt;&gt;"""", GOOGLETRANSLATE(P595, ""RO"", ""EN""), """")"),"1")</f>
        <v>1</v>
      </c>
      <c r="F595" s="5" t="str">
        <f>IFERROR(__xludf.DUMMYFUNCTION("IF(Q595&lt;&gt;"""", GOOGLETRANSLATE(Q595, ""RO"", ""EN""), """")"),"2")</f>
        <v>2</v>
      </c>
      <c r="G595" s="5" t="str">
        <f>IFERROR(__xludf.DUMMYFUNCTION("IF(R595&lt;&gt;"""", GOOGLETRANSLATE(R595, ""RO"", ""EN""), """")"),"3")</f>
        <v>3</v>
      </c>
      <c r="H595" s="5" t="str">
        <f>IFERROR(__xludf.DUMMYFUNCTION("IF(U595&lt;&gt;"""", GOOGLETRANSLATE(U595, ""RO"", ""EN""), """")"),"4")</f>
        <v>4</v>
      </c>
      <c r="I595" s="5" t="str">
        <f>IFERROR(__xludf.DUMMYFUNCTION("IF(V595&lt;&gt;"""", GOOGLETRANSLATE(V595, ""RO"", ""EN""), """")"),"5")</f>
        <v>5</v>
      </c>
      <c r="J595" s="5" t="str">
        <f>IFERROR(__xludf.DUMMYFUNCTION("IF(W595&lt;&gt;"""", GOOGLETRANSLATE(W595, ""RO"", ""EN""), """")"),"6")</f>
        <v>6</v>
      </c>
      <c r="K595" s="5" t="str">
        <f>IFERROR(__xludf.DUMMYFUNCTION("IF(X595&lt;&gt;"""", GOOGLETRANSLATE(X595, ""RO"", ""EN""), """")"),"7")</f>
        <v>7</v>
      </c>
      <c r="L595" s="5" t="str">
        <f>IFERROR(__xludf.DUMMYFUNCTION("IF(S595&lt;&gt;"""", GOOGLETRANSLATE(S595, ""RO"", ""EN""), """")"),"8")</f>
        <v>8</v>
      </c>
      <c r="M595" s="5" t="str">
        <f>IFERROR(__xludf.DUMMYFUNCTION("IF(T595&lt;&gt;"""", GOOGLETRANSLATE(T595, ""RO"", ""EN""), """")"),"9")</f>
        <v>9</v>
      </c>
      <c r="N595" s="5" t="str">
        <f>IFERROR(__xludf.DUMMYFUNCTION("IF(Y595&lt;&gt;"""", GOOGLETRANSLATE(Y595, ""RO"", ""EN""), """")"),"To a great extent")</f>
        <v>To a great extent</v>
      </c>
      <c r="O595" s="4" t="s">
        <v>363</v>
      </c>
      <c r="P595" s="4" t="s">
        <v>168</v>
      </c>
      <c r="Q595" s="4" t="s">
        <v>169</v>
      </c>
      <c r="R595" s="4" t="s">
        <v>170</v>
      </c>
      <c r="S595" s="4" t="s">
        <v>171</v>
      </c>
      <c r="T595" s="4" t="s">
        <v>172</v>
      </c>
      <c r="U595" s="4" t="s">
        <v>173</v>
      </c>
      <c r="V595" s="4" t="s">
        <v>174</v>
      </c>
      <c r="W595" s="4" t="s">
        <v>175</v>
      </c>
      <c r="X595" s="4" t="s">
        <v>176</v>
      </c>
      <c r="Y595" s="4" t="s">
        <v>632</v>
      </c>
      <c r="AA595" s="4" t="s">
        <v>103</v>
      </c>
      <c r="AB595" s="4" t="s">
        <v>104</v>
      </c>
    </row>
    <row r="596" ht="15.75" customHeight="1">
      <c r="A596" s="4" t="s">
        <v>1692</v>
      </c>
      <c r="B596" s="4" t="s">
        <v>1693</v>
      </c>
      <c r="C596" s="4" t="str">
        <f>IFERROR(__xludf.DUMMYFUNCTION("GOOGLETRANSLATE(B596, ""RO"", ""EN"")"),"Politicians take into account what people like me think.")</f>
        <v>Politicians take into account what people like me think.</v>
      </c>
      <c r="D596" s="5" t="str">
        <f>IFERROR(__xludf.DUMMYFUNCTION("IF(O596&lt;&gt;"""", GOOGLETRANSLATE(O596, ""RO"", ""EN""), """")"),"Not at all")</f>
        <v>Not at all</v>
      </c>
      <c r="E596" s="6" t="str">
        <f>IFERROR(__xludf.DUMMYFUNCTION("IF(P596&lt;&gt;"""", GOOGLETRANSLATE(P596, ""RO"", ""EN""), """")"),"1")</f>
        <v>1</v>
      </c>
      <c r="F596" s="5" t="str">
        <f>IFERROR(__xludf.DUMMYFUNCTION("IF(Q596&lt;&gt;"""", GOOGLETRANSLATE(Q596, ""RO"", ""EN""), """")"),"2")</f>
        <v>2</v>
      </c>
      <c r="G596" s="5" t="str">
        <f>IFERROR(__xludf.DUMMYFUNCTION("IF(R596&lt;&gt;"""", GOOGLETRANSLATE(R596, ""RO"", ""EN""), """")"),"3")</f>
        <v>3</v>
      </c>
      <c r="H596" s="5" t="str">
        <f>IFERROR(__xludf.DUMMYFUNCTION("IF(U596&lt;&gt;"""", GOOGLETRANSLATE(U596, ""RO"", ""EN""), """")"),"4")</f>
        <v>4</v>
      </c>
      <c r="I596" s="5" t="str">
        <f>IFERROR(__xludf.DUMMYFUNCTION("IF(V596&lt;&gt;"""", GOOGLETRANSLATE(V596, ""RO"", ""EN""), """")"),"5")</f>
        <v>5</v>
      </c>
      <c r="J596" s="5" t="str">
        <f>IFERROR(__xludf.DUMMYFUNCTION("IF(W596&lt;&gt;"""", GOOGLETRANSLATE(W596, ""RO"", ""EN""), """")"),"6")</f>
        <v>6</v>
      </c>
      <c r="K596" s="5" t="str">
        <f>IFERROR(__xludf.DUMMYFUNCTION("IF(X596&lt;&gt;"""", GOOGLETRANSLATE(X596, ""RO"", ""EN""), """")"),"7")</f>
        <v>7</v>
      </c>
      <c r="L596" s="5" t="str">
        <f>IFERROR(__xludf.DUMMYFUNCTION("IF(S596&lt;&gt;"""", GOOGLETRANSLATE(S596, ""RO"", ""EN""), """")"),"8")</f>
        <v>8</v>
      </c>
      <c r="M596" s="5" t="str">
        <f>IFERROR(__xludf.DUMMYFUNCTION("IF(T596&lt;&gt;"""", GOOGLETRANSLATE(T596, ""RO"", ""EN""), """")"),"9")</f>
        <v>9</v>
      </c>
      <c r="N596" s="5" t="str">
        <f>IFERROR(__xludf.DUMMYFUNCTION("IF(Y596&lt;&gt;"""", GOOGLETRANSLATE(Y596, ""RO"", ""EN""), """")"),"To a great extent")</f>
        <v>To a great extent</v>
      </c>
      <c r="O596" s="4" t="s">
        <v>363</v>
      </c>
      <c r="P596" s="4" t="s">
        <v>168</v>
      </c>
      <c r="Q596" s="4" t="s">
        <v>169</v>
      </c>
      <c r="R596" s="4" t="s">
        <v>170</v>
      </c>
      <c r="S596" s="4" t="s">
        <v>171</v>
      </c>
      <c r="T596" s="4" t="s">
        <v>172</v>
      </c>
      <c r="U596" s="4" t="s">
        <v>173</v>
      </c>
      <c r="V596" s="4" t="s">
        <v>174</v>
      </c>
      <c r="W596" s="4" t="s">
        <v>175</v>
      </c>
      <c r="X596" s="4" t="s">
        <v>176</v>
      </c>
      <c r="Y596" s="4" t="s">
        <v>632</v>
      </c>
      <c r="AA596" s="4" t="s">
        <v>103</v>
      </c>
      <c r="AB596" s="4" t="s">
        <v>104</v>
      </c>
    </row>
    <row r="597" ht="15.75" customHeight="1">
      <c r="A597" s="4" t="s">
        <v>1694</v>
      </c>
      <c r="B597" s="4" t="s">
        <v>1695</v>
      </c>
      <c r="C597" s="4" t="str">
        <f>IFERROR(__xludf.DUMMYFUNCTION("GOOGLETRANSLATE(B597, ""RO"", ""EN"")"),"It matters which politician wins the elections for how things go in the country.")</f>
        <v>It matters which politician wins the elections for how things go in the country.</v>
      </c>
      <c r="D597" s="5" t="str">
        <f>IFERROR(__xludf.DUMMYFUNCTION("IF(O597&lt;&gt;"""", GOOGLETRANSLATE(O597, ""RO"", ""EN""), """")"),"Not at all")</f>
        <v>Not at all</v>
      </c>
      <c r="E597" s="6" t="str">
        <f>IFERROR(__xludf.DUMMYFUNCTION("IF(P597&lt;&gt;"""", GOOGLETRANSLATE(P597, ""RO"", ""EN""), """")"),"1")</f>
        <v>1</v>
      </c>
      <c r="F597" s="5" t="str">
        <f>IFERROR(__xludf.DUMMYFUNCTION("IF(Q597&lt;&gt;"""", GOOGLETRANSLATE(Q597, ""RO"", ""EN""), """")"),"2")</f>
        <v>2</v>
      </c>
      <c r="G597" s="5" t="str">
        <f>IFERROR(__xludf.DUMMYFUNCTION("IF(R597&lt;&gt;"""", GOOGLETRANSLATE(R597, ""RO"", ""EN""), """")"),"3")</f>
        <v>3</v>
      </c>
      <c r="H597" s="5" t="str">
        <f>IFERROR(__xludf.DUMMYFUNCTION("IF(U597&lt;&gt;"""", GOOGLETRANSLATE(U597, ""RO"", ""EN""), """")"),"4")</f>
        <v>4</v>
      </c>
      <c r="I597" s="5" t="str">
        <f>IFERROR(__xludf.DUMMYFUNCTION("IF(V597&lt;&gt;"""", GOOGLETRANSLATE(V597, ""RO"", ""EN""), """")"),"5")</f>
        <v>5</v>
      </c>
      <c r="J597" s="5" t="str">
        <f>IFERROR(__xludf.DUMMYFUNCTION("IF(W597&lt;&gt;"""", GOOGLETRANSLATE(W597, ""RO"", ""EN""), """")"),"6")</f>
        <v>6</v>
      </c>
      <c r="K597" s="5" t="str">
        <f>IFERROR(__xludf.DUMMYFUNCTION("IF(X597&lt;&gt;"""", GOOGLETRANSLATE(X597, ""RO"", ""EN""), """")"),"7")</f>
        <v>7</v>
      </c>
      <c r="L597" s="5" t="str">
        <f>IFERROR(__xludf.DUMMYFUNCTION("IF(S597&lt;&gt;"""", GOOGLETRANSLATE(S597, ""RO"", ""EN""), """")"),"8")</f>
        <v>8</v>
      </c>
      <c r="M597" s="5" t="str">
        <f>IFERROR(__xludf.DUMMYFUNCTION("IF(T597&lt;&gt;"""", GOOGLETRANSLATE(T597, ""RO"", ""EN""), """")"),"9")</f>
        <v>9</v>
      </c>
      <c r="N597" s="5" t="str">
        <f>IFERROR(__xludf.DUMMYFUNCTION("IF(Y597&lt;&gt;"""", GOOGLETRANSLATE(Y597, ""RO"", ""EN""), """")"),"To a great extent")</f>
        <v>To a great extent</v>
      </c>
      <c r="O597" s="4" t="s">
        <v>363</v>
      </c>
      <c r="P597" s="4" t="s">
        <v>168</v>
      </c>
      <c r="Q597" s="4" t="s">
        <v>169</v>
      </c>
      <c r="R597" s="4" t="s">
        <v>170</v>
      </c>
      <c r="S597" s="4" t="s">
        <v>171</v>
      </c>
      <c r="T597" s="4" t="s">
        <v>172</v>
      </c>
      <c r="U597" s="4" t="s">
        <v>173</v>
      </c>
      <c r="V597" s="4" t="s">
        <v>174</v>
      </c>
      <c r="W597" s="4" t="s">
        <v>175</v>
      </c>
      <c r="X597" s="4" t="s">
        <v>176</v>
      </c>
      <c r="Y597" s="4" t="s">
        <v>632</v>
      </c>
      <c r="AA597" s="4" t="s">
        <v>103</v>
      </c>
      <c r="AB597" s="4" t="s">
        <v>104</v>
      </c>
    </row>
    <row r="598" ht="15.75" customHeight="1">
      <c r="A598" s="4" t="s">
        <v>1696</v>
      </c>
      <c r="B598" s="4" t="s">
        <v>1697</v>
      </c>
      <c r="C598" s="4" t="str">
        <f>IFERROR(__xludf.DUMMYFUNCTION("GOOGLETRANSLATE(B598, ""RO"", ""EN"")"),"Politicians are only interested in people's votes, not their opinions.")</f>
        <v>Politicians are only interested in people's votes, not their opinions.</v>
      </c>
      <c r="D598" s="5" t="str">
        <f>IFERROR(__xludf.DUMMYFUNCTION("IF(O598&lt;&gt;"""", GOOGLETRANSLATE(O598, ""RO"", ""EN""), """")"),"Not at all")</f>
        <v>Not at all</v>
      </c>
      <c r="E598" s="6" t="str">
        <f>IFERROR(__xludf.DUMMYFUNCTION("IF(P598&lt;&gt;"""", GOOGLETRANSLATE(P598, ""RO"", ""EN""), """")"),"1")</f>
        <v>1</v>
      </c>
      <c r="F598" s="5" t="str">
        <f>IFERROR(__xludf.DUMMYFUNCTION("IF(Q598&lt;&gt;"""", GOOGLETRANSLATE(Q598, ""RO"", ""EN""), """")"),"2")</f>
        <v>2</v>
      </c>
      <c r="G598" s="5" t="str">
        <f>IFERROR(__xludf.DUMMYFUNCTION("IF(R598&lt;&gt;"""", GOOGLETRANSLATE(R598, ""RO"", ""EN""), """")"),"3")</f>
        <v>3</v>
      </c>
      <c r="H598" s="5" t="str">
        <f>IFERROR(__xludf.DUMMYFUNCTION("IF(U598&lt;&gt;"""", GOOGLETRANSLATE(U598, ""RO"", ""EN""), """")"),"4")</f>
        <v>4</v>
      </c>
      <c r="I598" s="5" t="str">
        <f>IFERROR(__xludf.DUMMYFUNCTION("IF(V598&lt;&gt;"""", GOOGLETRANSLATE(V598, ""RO"", ""EN""), """")"),"5")</f>
        <v>5</v>
      </c>
      <c r="J598" s="5" t="str">
        <f>IFERROR(__xludf.DUMMYFUNCTION("IF(W598&lt;&gt;"""", GOOGLETRANSLATE(W598, ""RO"", ""EN""), """")"),"6")</f>
        <v>6</v>
      </c>
      <c r="K598" s="5" t="str">
        <f>IFERROR(__xludf.DUMMYFUNCTION("IF(X598&lt;&gt;"""", GOOGLETRANSLATE(X598, ""RO"", ""EN""), """")"),"7")</f>
        <v>7</v>
      </c>
      <c r="L598" s="5" t="str">
        <f>IFERROR(__xludf.DUMMYFUNCTION("IF(S598&lt;&gt;"""", GOOGLETRANSLATE(S598, ""RO"", ""EN""), """")"),"8")</f>
        <v>8</v>
      </c>
      <c r="M598" s="5" t="str">
        <f>IFERROR(__xludf.DUMMYFUNCTION("IF(T598&lt;&gt;"""", GOOGLETRANSLATE(T598, ""RO"", ""EN""), """")"),"9")</f>
        <v>9</v>
      </c>
      <c r="N598" s="5" t="str">
        <f>IFERROR(__xludf.DUMMYFUNCTION("IF(Y598&lt;&gt;"""", GOOGLETRANSLATE(Y598, ""RO"", ""EN""), """")"),"To a great extent")</f>
        <v>To a great extent</v>
      </c>
      <c r="O598" s="4" t="s">
        <v>363</v>
      </c>
      <c r="P598" s="4" t="s">
        <v>168</v>
      </c>
      <c r="Q598" s="4" t="s">
        <v>169</v>
      </c>
      <c r="R598" s="4" t="s">
        <v>170</v>
      </c>
      <c r="S598" s="4" t="s">
        <v>171</v>
      </c>
      <c r="T598" s="4" t="s">
        <v>172</v>
      </c>
      <c r="U598" s="4" t="s">
        <v>173</v>
      </c>
      <c r="V598" s="4" t="s">
        <v>174</v>
      </c>
      <c r="W598" s="4" t="s">
        <v>175</v>
      </c>
      <c r="X598" s="4" t="s">
        <v>176</v>
      </c>
      <c r="Y598" s="4" t="s">
        <v>632</v>
      </c>
      <c r="AA598" s="4" t="s">
        <v>103</v>
      </c>
      <c r="AB598" s="4" t="s">
        <v>104</v>
      </c>
    </row>
    <row r="599" ht="15.75" customHeight="1">
      <c r="A599" s="4" t="s">
        <v>1698</v>
      </c>
      <c r="B599" s="4" t="s">
        <v>1699</v>
      </c>
      <c r="C599" s="4" t="str">
        <f>IFERROR(__xludf.DUMMYFUNCTION("GOOGLETRANSLATE(B599, ""RO"", ""EN"")"),"During the election campaigns, candidates and political parties offer people different gifts to become better known. You or someone in your household have received in the election campaign for presidential choices or in")</f>
        <v>During the election campaigns, candidates and political parties offer people different gifts to become better known. You or someone in your household have received in the election campaign for presidential choices or in</v>
      </c>
      <c r="D599" s="5" t="str">
        <f>IFERROR(__xludf.DUMMYFUNCTION("IF(O599&lt;&gt;"""", GOOGLETRANSLATE(O599, ""RO"", ""EN""), """")"),"")</f>
        <v/>
      </c>
      <c r="E599" s="6" t="str">
        <f>IFERROR(__xludf.DUMMYFUNCTION("IF(P599&lt;&gt;"""", GOOGLETRANSLATE(P599, ""RO"", ""EN""), """")"),"Yes, in the campaign for presidential elections")</f>
        <v>Yes, in the campaign for presidential elections</v>
      </c>
      <c r="F599" s="5" t="str">
        <f>IFERROR(__xludf.DUMMYFUNCTION("IF(Q599&lt;&gt;"""", GOOGLETRANSLATE(Q599, ""RO"", ""EN""), """")"),"Yes, in the 2008 or 2009 campaigns")</f>
        <v>Yes, in the 2008 or 2009 campaigns</v>
      </c>
      <c r="G599" s="5" t="str">
        <f>IFERROR(__xludf.DUMMYFUNCTION("IF(R599&lt;&gt;"""", GOOGLETRANSLATE(R599, ""RO"", ""EN""), """")"),"Yes in both")</f>
        <v>Yes in both</v>
      </c>
      <c r="H599" s="5" t="str">
        <f>IFERROR(__xludf.DUMMYFUNCTION("IF(U599&lt;&gt;"""", GOOGLETRANSLATE(U599, ""RO"", ""EN""), """")"),"Not")</f>
        <v>Not</v>
      </c>
      <c r="I599" s="5" t="str">
        <f>IFERROR(__xludf.DUMMYFUNCTION("IF(V599&lt;&gt;"""", GOOGLETRANSLATE(V599, ""RO"", ""EN""), """")"),"")</f>
        <v/>
      </c>
      <c r="J599" s="5" t="str">
        <f>IFERROR(__xludf.DUMMYFUNCTION("IF(W599&lt;&gt;"""", GOOGLETRANSLATE(W599, ""RO"", ""EN""), """")"),"")</f>
        <v/>
      </c>
      <c r="K599" s="5" t="str">
        <f>IFERROR(__xludf.DUMMYFUNCTION("IF(X599&lt;&gt;"""", GOOGLETRANSLATE(X599, ""RO"", ""EN""), """")"),"")</f>
        <v/>
      </c>
      <c r="L599" s="5" t="str">
        <f>IFERROR(__xludf.DUMMYFUNCTION("IF(S599&lt;&gt;"""", GOOGLETRANSLATE(S599, ""RO"", ""EN""), """")"),"Ns")</f>
        <v>Ns</v>
      </c>
      <c r="M599" s="5" t="str">
        <f>IFERROR(__xludf.DUMMYFUNCTION("IF(T599&lt;&gt;"""", GOOGLETRANSLATE(T599, ""RO"", ""EN""), """")"),"No.")</f>
        <v>No.</v>
      </c>
      <c r="N599" s="5" t="str">
        <f>IFERROR(__xludf.DUMMYFUNCTION("IF(Y599&lt;&gt;"""", GOOGLETRANSLATE(Y599, ""RO"", ""EN""), """")"),"")</f>
        <v/>
      </c>
      <c r="P599" s="4" t="s">
        <v>1700</v>
      </c>
      <c r="Q599" s="4" t="s">
        <v>1701</v>
      </c>
      <c r="R599" s="4" t="s">
        <v>1702</v>
      </c>
      <c r="S599" s="4" t="s">
        <v>103</v>
      </c>
      <c r="T599" s="4" t="s">
        <v>104</v>
      </c>
      <c r="U599" s="4" t="s">
        <v>640</v>
      </c>
    </row>
    <row r="600" ht="15.75" customHeight="1">
      <c r="A600" s="4" t="s">
        <v>1703</v>
      </c>
      <c r="B600" s="4" t="s">
        <v>1704</v>
      </c>
      <c r="C600" s="4" t="str">
        <f>IFERROR(__xludf.DUMMYFUNCTION("GOOGLETRANSLATE(B600, ""RO"", ""EN"")"),"food and drinks")</f>
        <v>food and drinks</v>
      </c>
      <c r="D600" s="5" t="str">
        <f>IFERROR(__xludf.DUMMYFUNCTION("IF(O600&lt;&gt;"""", GOOGLETRANSLATE(O600, ""RO"", ""EN""), """")"),"")</f>
        <v/>
      </c>
      <c r="E600" s="6" t="str">
        <f>IFERROR(__xludf.DUMMYFUNCTION("IF(P600&lt;&gt;"""", GOOGLETRANSLATE(P600, ""RO"", ""EN""), """")"),"Yes, in the campaign for presidential elections")</f>
        <v>Yes, in the campaign for presidential elections</v>
      </c>
      <c r="F600" s="5" t="str">
        <f>IFERROR(__xludf.DUMMYFUNCTION("IF(Q600&lt;&gt;"""", GOOGLETRANSLATE(Q600, ""RO"", ""EN""), """")"),"Yes, in the 2008 or 2009 campaigns")</f>
        <v>Yes, in the 2008 or 2009 campaigns</v>
      </c>
      <c r="G600" s="5" t="str">
        <f>IFERROR(__xludf.DUMMYFUNCTION("IF(R600&lt;&gt;"""", GOOGLETRANSLATE(R600, ""RO"", ""EN""), """")"),"Yes in both")</f>
        <v>Yes in both</v>
      </c>
      <c r="H600" s="5" t="str">
        <f>IFERROR(__xludf.DUMMYFUNCTION("IF(U600&lt;&gt;"""", GOOGLETRANSLATE(U600, ""RO"", ""EN""), """")"),"Not")</f>
        <v>Not</v>
      </c>
      <c r="I600" s="5" t="str">
        <f>IFERROR(__xludf.DUMMYFUNCTION("IF(V600&lt;&gt;"""", GOOGLETRANSLATE(V600, ""RO"", ""EN""), """")"),"")</f>
        <v/>
      </c>
      <c r="J600" s="5" t="str">
        <f>IFERROR(__xludf.DUMMYFUNCTION("IF(W600&lt;&gt;"""", GOOGLETRANSLATE(W600, ""RO"", ""EN""), """")"),"")</f>
        <v/>
      </c>
      <c r="K600" s="5" t="str">
        <f>IFERROR(__xludf.DUMMYFUNCTION("IF(X600&lt;&gt;"""", GOOGLETRANSLATE(X600, ""RO"", ""EN""), """")"),"")</f>
        <v/>
      </c>
      <c r="L600" s="5" t="str">
        <f>IFERROR(__xludf.DUMMYFUNCTION("IF(S600&lt;&gt;"""", GOOGLETRANSLATE(S600, ""RO"", ""EN""), """")"),"Ns")</f>
        <v>Ns</v>
      </c>
      <c r="M600" s="5" t="str">
        <f>IFERROR(__xludf.DUMMYFUNCTION("IF(T600&lt;&gt;"""", GOOGLETRANSLATE(T600, ""RO"", ""EN""), """")"),"No.")</f>
        <v>No.</v>
      </c>
      <c r="N600" s="5" t="str">
        <f>IFERROR(__xludf.DUMMYFUNCTION("IF(Y600&lt;&gt;"""", GOOGLETRANSLATE(Y600, ""RO"", ""EN""), """")"),"")</f>
        <v/>
      </c>
      <c r="P600" s="4" t="s">
        <v>1700</v>
      </c>
      <c r="Q600" s="4" t="s">
        <v>1701</v>
      </c>
      <c r="R600" s="4" t="s">
        <v>1702</v>
      </c>
      <c r="S600" s="4" t="s">
        <v>103</v>
      </c>
      <c r="T600" s="4" t="s">
        <v>104</v>
      </c>
      <c r="U600" s="4" t="s">
        <v>640</v>
      </c>
    </row>
    <row r="601" ht="15.75" customHeight="1">
      <c r="A601" s="4" t="s">
        <v>1705</v>
      </c>
      <c r="B601" s="4" t="s">
        <v>1706</v>
      </c>
      <c r="C601" s="4" t="str">
        <f>IFERROR(__xludf.DUMMYFUNCTION("GOOGLETRANSLATE(B601, ""RO"", ""EN"")"),"Tools and household items (dishes, buckets, mature, etc.)")</f>
        <v>Tools and household items (dishes, buckets, mature, etc.)</v>
      </c>
      <c r="D601" s="5" t="str">
        <f>IFERROR(__xludf.DUMMYFUNCTION("IF(O601&lt;&gt;"""", GOOGLETRANSLATE(O601, ""RO"", ""EN""), """")"),"")</f>
        <v/>
      </c>
      <c r="E601" s="6" t="str">
        <f>IFERROR(__xludf.DUMMYFUNCTION("IF(P601&lt;&gt;"""", GOOGLETRANSLATE(P601, ""RO"", ""EN""), """")"),"Yes, in the campaign for presidential elections")</f>
        <v>Yes, in the campaign for presidential elections</v>
      </c>
      <c r="F601" s="5" t="str">
        <f>IFERROR(__xludf.DUMMYFUNCTION("IF(Q601&lt;&gt;"""", GOOGLETRANSLATE(Q601, ""RO"", ""EN""), """")"),"Yes, in the 2008 or 2009 campaigns")</f>
        <v>Yes, in the 2008 or 2009 campaigns</v>
      </c>
      <c r="G601" s="5" t="str">
        <f>IFERROR(__xludf.DUMMYFUNCTION("IF(R601&lt;&gt;"""", GOOGLETRANSLATE(R601, ""RO"", ""EN""), """")"),"Yes in both")</f>
        <v>Yes in both</v>
      </c>
      <c r="H601" s="5" t="str">
        <f>IFERROR(__xludf.DUMMYFUNCTION("IF(U601&lt;&gt;"""", GOOGLETRANSLATE(U601, ""RO"", ""EN""), """")"),"Not")</f>
        <v>Not</v>
      </c>
      <c r="I601" s="5" t="str">
        <f>IFERROR(__xludf.DUMMYFUNCTION("IF(V601&lt;&gt;"""", GOOGLETRANSLATE(V601, ""RO"", ""EN""), """")"),"")</f>
        <v/>
      </c>
      <c r="J601" s="5" t="str">
        <f>IFERROR(__xludf.DUMMYFUNCTION("IF(W601&lt;&gt;"""", GOOGLETRANSLATE(W601, ""RO"", ""EN""), """")"),"")</f>
        <v/>
      </c>
      <c r="K601" s="5" t="str">
        <f>IFERROR(__xludf.DUMMYFUNCTION("IF(X601&lt;&gt;"""", GOOGLETRANSLATE(X601, ""RO"", ""EN""), """")"),"")</f>
        <v/>
      </c>
      <c r="L601" s="5" t="str">
        <f>IFERROR(__xludf.DUMMYFUNCTION("IF(S601&lt;&gt;"""", GOOGLETRANSLATE(S601, ""RO"", ""EN""), """")"),"Ns")</f>
        <v>Ns</v>
      </c>
      <c r="M601" s="5" t="str">
        <f>IFERROR(__xludf.DUMMYFUNCTION("IF(T601&lt;&gt;"""", GOOGLETRANSLATE(T601, ""RO"", ""EN""), """")"),"No.")</f>
        <v>No.</v>
      </c>
      <c r="N601" s="5" t="str">
        <f>IFERROR(__xludf.DUMMYFUNCTION("IF(Y601&lt;&gt;"""", GOOGLETRANSLATE(Y601, ""RO"", ""EN""), """")"),"")</f>
        <v/>
      </c>
      <c r="P601" s="4" t="s">
        <v>1700</v>
      </c>
      <c r="Q601" s="4" t="s">
        <v>1701</v>
      </c>
      <c r="R601" s="4" t="s">
        <v>1702</v>
      </c>
      <c r="S601" s="4" t="s">
        <v>103</v>
      </c>
      <c r="T601" s="4" t="s">
        <v>104</v>
      </c>
      <c r="U601" s="4" t="s">
        <v>640</v>
      </c>
    </row>
    <row r="602" ht="15.75" customHeight="1">
      <c r="A602" s="4" t="s">
        <v>1707</v>
      </c>
      <c r="B602" s="4" t="s">
        <v>1708</v>
      </c>
      <c r="C602" s="4" t="str">
        <f>IFERROR(__xludf.DUMMYFUNCTION("GOOGLETRANSLATE(B602, ""RO"", ""EN"")"),"More valuable objects (mobile, appliances, etc.)")</f>
        <v>More valuable objects (mobile, appliances, etc.)</v>
      </c>
      <c r="D602" s="5" t="str">
        <f>IFERROR(__xludf.DUMMYFUNCTION("IF(O602&lt;&gt;"""", GOOGLETRANSLATE(O602, ""RO"", ""EN""), """")"),"")</f>
        <v/>
      </c>
      <c r="E602" s="6" t="str">
        <f>IFERROR(__xludf.DUMMYFUNCTION("IF(P602&lt;&gt;"""", GOOGLETRANSLATE(P602, ""RO"", ""EN""), """")"),"Yes, in the campaign for presidential elections")</f>
        <v>Yes, in the campaign for presidential elections</v>
      </c>
      <c r="F602" s="5" t="str">
        <f>IFERROR(__xludf.DUMMYFUNCTION("IF(Q602&lt;&gt;"""", GOOGLETRANSLATE(Q602, ""RO"", ""EN""), """")"),"Yes, in the 2008 or 2009 campaigns")</f>
        <v>Yes, in the 2008 or 2009 campaigns</v>
      </c>
      <c r="G602" s="5" t="str">
        <f>IFERROR(__xludf.DUMMYFUNCTION("IF(R602&lt;&gt;"""", GOOGLETRANSLATE(R602, ""RO"", ""EN""), """")"),"Yes in both")</f>
        <v>Yes in both</v>
      </c>
      <c r="H602" s="5" t="str">
        <f>IFERROR(__xludf.DUMMYFUNCTION("IF(U602&lt;&gt;"""", GOOGLETRANSLATE(U602, ""RO"", ""EN""), """")"),"Not")</f>
        <v>Not</v>
      </c>
      <c r="I602" s="5" t="str">
        <f>IFERROR(__xludf.DUMMYFUNCTION("IF(V602&lt;&gt;"""", GOOGLETRANSLATE(V602, ""RO"", ""EN""), """")"),"")</f>
        <v/>
      </c>
      <c r="J602" s="5" t="str">
        <f>IFERROR(__xludf.DUMMYFUNCTION("IF(W602&lt;&gt;"""", GOOGLETRANSLATE(W602, ""RO"", ""EN""), """")"),"")</f>
        <v/>
      </c>
      <c r="K602" s="5" t="str">
        <f>IFERROR(__xludf.DUMMYFUNCTION("IF(X602&lt;&gt;"""", GOOGLETRANSLATE(X602, ""RO"", ""EN""), """")"),"")</f>
        <v/>
      </c>
      <c r="L602" s="5" t="str">
        <f>IFERROR(__xludf.DUMMYFUNCTION("IF(S602&lt;&gt;"""", GOOGLETRANSLATE(S602, ""RO"", ""EN""), """")"),"Ns")</f>
        <v>Ns</v>
      </c>
      <c r="M602" s="5" t="str">
        <f>IFERROR(__xludf.DUMMYFUNCTION("IF(T602&lt;&gt;"""", GOOGLETRANSLATE(T602, ""RO"", ""EN""), """")"),"No.")</f>
        <v>No.</v>
      </c>
      <c r="N602" s="5" t="str">
        <f>IFERROR(__xludf.DUMMYFUNCTION("IF(Y602&lt;&gt;"""", GOOGLETRANSLATE(Y602, ""RO"", ""EN""), """")"),"")</f>
        <v/>
      </c>
      <c r="P602" s="4" t="s">
        <v>1700</v>
      </c>
      <c r="Q602" s="4" t="s">
        <v>1701</v>
      </c>
      <c r="R602" s="4" t="s">
        <v>1702</v>
      </c>
      <c r="S602" s="4" t="s">
        <v>103</v>
      </c>
      <c r="T602" s="4" t="s">
        <v>104</v>
      </c>
      <c r="U602" s="4" t="s">
        <v>640</v>
      </c>
    </row>
    <row r="603" ht="15.75" customHeight="1">
      <c r="A603" s="4" t="s">
        <v>1709</v>
      </c>
      <c r="B603" s="4" t="s">
        <v>1710</v>
      </c>
      <c r="C603" s="4" t="str">
        <f>IFERROR(__xludf.DUMMYFUNCTION("GOOGLETRANSLATE(B603, ""RO"", ""EN"")"),"amounts of money")</f>
        <v>amounts of money</v>
      </c>
      <c r="D603" s="5" t="str">
        <f>IFERROR(__xludf.DUMMYFUNCTION("IF(O603&lt;&gt;"""", GOOGLETRANSLATE(O603, ""RO"", ""EN""), """")"),"")</f>
        <v/>
      </c>
      <c r="E603" s="6" t="str">
        <f>IFERROR(__xludf.DUMMYFUNCTION("IF(P603&lt;&gt;"""", GOOGLETRANSLATE(P603, ""RO"", ""EN""), """")"),"Yes, in the campaign for presidential elections")</f>
        <v>Yes, in the campaign for presidential elections</v>
      </c>
      <c r="F603" s="5" t="str">
        <f>IFERROR(__xludf.DUMMYFUNCTION("IF(Q603&lt;&gt;"""", GOOGLETRANSLATE(Q603, ""RO"", ""EN""), """")"),"Yes, in the 2008 or 2009 campaigns")</f>
        <v>Yes, in the 2008 or 2009 campaigns</v>
      </c>
      <c r="G603" s="5" t="str">
        <f>IFERROR(__xludf.DUMMYFUNCTION("IF(R603&lt;&gt;"""", GOOGLETRANSLATE(R603, ""RO"", ""EN""), """")"),"Yes in both")</f>
        <v>Yes in both</v>
      </c>
      <c r="H603" s="5" t="str">
        <f>IFERROR(__xludf.DUMMYFUNCTION("IF(U603&lt;&gt;"""", GOOGLETRANSLATE(U603, ""RO"", ""EN""), """")"),"Not")</f>
        <v>Not</v>
      </c>
      <c r="I603" s="5" t="str">
        <f>IFERROR(__xludf.DUMMYFUNCTION("IF(V603&lt;&gt;"""", GOOGLETRANSLATE(V603, ""RO"", ""EN""), """")"),"")</f>
        <v/>
      </c>
      <c r="J603" s="5" t="str">
        <f>IFERROR(__xludf.DUMMYFUNCTION("IF(W603&lt;&gt;"""", GOOGLETRANSLATE(W603, ""RO"", ""EN""), """")"),"")</f>
        <v/>
      </c>
      <c r="K603" s="5" t="str">
        <f>IFERROR(__xludf.DUMMYFUNCTION("IF(X603&lt;&gt;"""", GOOGLETRANSLATE(X603, ""RO"", ""EN""), """")"),"")</f>
        <v/>
      </c>
      <c r="L603" s="5" t="str">
        <f>IFERROR(__xludf.DUMMYFUNCTION("IF(S603&lt;&gt;"""", GOOGLETRANSLATE(S603, ""RO"", ""EN""), """")"),"Ns")</f>
        <v>Ns</v>
      </c>
      <c r="M603" s="5" t="str">
        <f>IFERROR(__xludf.DUMMYFUNCTION("IF(T603&lt;&gt;"""", GOOGLETRANSLATE(T603, ""RO"", ""EN""), """")"),"No.")</f>
        <v>No.</v>
      </c>
      <c r="N603" s="5" t="str">
        <f>IFERROR(__xludf.DUMMYFUNCTION("IF(Y603&lt;&gt;"""", GOOGLETRANSLATE(Y603, ""RO"", ""EN""), """")"),"")</f>
        <v/>
      </c>
      <c r="P603" s="4" t="s">
        <v>1700</v>
      </c>
      <c r="Q603" s="4" t="s">
        <v>1701</v>
      </c>
      <c r="R603" s="4" t="s">
        <v>1702</v>
      </c>
      <c r="S603" s="4" t="s">
        <v>103</v>
      </c>
      <c r="T603" s="4" t="s">
        <v>104</v>
      </c>
      <c r="U603" s="4" t="s">
        <v>640</v>
      </c>
    </row>
    <row r="604" ht="15.75" customHeight="1">
      <c r="A604" s="4" t="s">
        <v>1711</v>
      </c>
      <c r="B604" s="4" t="s">
        <v>1712</v>
      </c>
      <c r="C604" s="4" t="str">
        <f>IFERROR(__xludf.DUMMYFUNCTION("GOOGLETRANSLATE(B604, ""RO"", ""EN"")"),"In your opinion, at the 2nd round of the presidential elections, from December 6, 2009, were there election fraud or not?")</f>
        <v>In your opinion, at the 2nd round of the presidential elections, from December 6, 2009, were there election fraud or not?</v>
      </c>
      <c r="D604" s="5" t="str">
        <f>IFERROR(__xludf.DUMMYFUNCTION("IF(O604&lt;&gt;"""", GOOGLETRANSLATE(O604, ""RO"", ""EN""), """")"),"")</f>
        <v/>
      </c>
      <c r="E604" s="6" t="str">
        <f>IFERROR(__xludf.DUMMYFUNCTION("IF(P604&lt;&gt;"""", GOOGLETRANSLATE(P604, ""RO"", ""EN""), """")"),"Yes")</f>
        <v>Yes</v>
      </c>
      <c r="F604" s="5" t="str">
        <f>IFERROR(__xludf.DUMMYFUNCTION("IF(Q604&lt;&gt;"""", GOOGLETRANSLATE(Q604, ""RO"", ""EN""), """")"),"Not")</f>
        <v>Not</v>
      </c>
      <c r="G604" s="5" t="str">
        <f>IFERROR(__xludf.DUMMYFUNCTION("IF(R604&lt;&gt;"""", GOOGLETRANSLATE(R604, ""RO"", ""EN""), """")"),"")</f>
        <v/>
      </c>
      <c r="H604" s="5" t="str">
        <f>IFERROR(__xludf.DUMMYFUNCTION("IF(U604&lt;&gt;"""", GOOGLETRANSLATE(U604, ""RO"", ""EN""), """")"),"")</f>
        <v/>
      </c>
      <c r="I604" s="5" t="str">
        <f>IFERROR(__xludf.DUMMYFUNCTION("IF(V604&lt;&gt;"""", GOOGLETRANSLATE(V604, ""RO"", ""EN""), """")"),"")</f>
        <v/>
      </c>
      <c r="J604" s="5" t="str">
        <f>IFERROR(__xludf.DUMMYFUNCTION("IF(W604&lt;&gt;"""", GOOGLETRANSLATE(W604, ""RO"", ""EN""), """")"),"")</f>
        <v/>
      </c>
      <c r="K604" s="5" t="str">
        <f>IFERROR(__xludf.DUMMYFUNCTION("IF(X604&lt;&gt;"""", GOOGLETRANSLATE(X604, ""RO"", ""EN""), """")"),"")</f>
        <v/>
      </c>
      <c r="L604" s="5" t="str">
        <f>IFERROR(__xludf.DUMMYFUNCTION("IF(S604&lt;&gt;"""", GOOGLETRANSLATE(S604, ""RO"", ""EN""), """")"),"Ns")</f>
        <v>Ns</v>
      </c>
      <c r="M604" s="5" t="str">
        <f>IFERROR(__xludf.DUMMYFUNCTION("IF(T604&lt;&gt;"""", GOOGLETRANSLATE(T604, ""RO"", ""EN""), """")"),"No.")</f>
        <v>No.</v>
      </c>
      <c r="N604" s="5" t="str">
        <f>IFERROR(__xludf.DUMMYFUNCTION("IF(Y604&lt;&gt;"""", GOOGLETRANSLATE(Y604, ""RO"", ""EN""), """")"),"")</f>
        <v/>
      </c>
      <c r="P604" s="4" t="s">
        <v>639</v>
      </c>
      <c r="Q604" s="4" t="s">
        <v>640</v>
      </c>
      <c r="S604" s="4" t="s">
        <v>103</v>
      </c>
      <c r="T604" s="4" t="s">
        <v>104</v>
      </c>
    </row>
    <row r="605" ht="15.75" customHeight="1">
      <c r="A605" s="4" t="s">
        <v>1713</v>
      </c>
      <c r="B605" s="4" t="s">
        <v>1714</v>
      </c>
      <c r="C605" s="4" t="str">
        <f>IFERROR(__xludf.DUMMYFUNCTION("GOOGLETRANSLATE(B605, ""RO"", ""EN"")"),"To what extent do you think frauds have influenced the final result?")</f>
        <v>To what extent do you think frauds have influenced the final result?</v>
      </c>
      <c r="D605" s="5" t="str">
        <f>IFERROR(__xludf.DUMMYFUNCTION("IF(O605&lt;&gt;"""", GOOGLETRANSLATE(O605, ""RO"", ""EN""), """")"),"")</f>
        <v/>
      </c>
      <c r="E605" s="6" t="str">
        <f>IFERROR(__xludf.DUMMYFUNCTION("IF(P605&lt;&gt;"""", GOOGLETRANSLATE(P605, ""RO"", ""EN""), """")"),"Very small")</f>
        <v>Very small</v>
      </c>
      <c r="F605" s="5" t="str">
        <f>IFERROR(__xludf.DUMMYFUNCTION("IF(Q605&lt;&gt;"""", GOOGLETRANSLATE(Q605, ""RO"", ""EN""), """")"),"Classified")</f>
        <v>Classified</v>
      </c>
      <c r="G605" s="5" t="str">
        <f>IFERROR(__xludf.DUMMYFUNCTION("IF(R605&lt;&gt;"""", GOOGLETRANSLATE(R605, ""RO"", ""EN""), """")"),"Big")</f>
        <v>Big</v>
      </c>
      <c r="H605" s="5" t="str">
        <f>IFERROR(__xludf.DUMMYFUNCTION("IF(U605&lt;&gt;"""", GOOGLETRANSLATE(U605, ""RO"", ""EN""), """")"),"Very big")</f>
        <v>Very big</v>
      </c>
      <c r="I605" s="5" t="str">
        <f>IFERROR(__xludf.DUMMYFUNCTION("IF(V605&lt;&gt;"""", GOOGLETRANSLATE(V605, ""RO"", ""EN""), """")"),"")</f>
        <v/>
      </c>
      <c r="J605" s="5" t="str">
        <f>IFERROR(__xludf.DUMMYFUNCTION("IF(W605&lt;&gt;"""", GOOGLETRANSLATE(W605, ""RO"", ""EN""), """")"),"")</f>
        <v/>
      </c>
      <c r="K605" s="5" t="str">
        <f>IFERROR(__xludf.DUMMYFUNCTION("IF(X605&lt;&gt;"""", GOOGLETRANSLATE(X605, ""RO"", ""EN""), """")"),"")</f>
        <v/>
      </c>
      <c r="L605" s="5" t="str">
        <f>IFERROR(__xludf.DUMMYFUNCTION("IF(S605&lt;&gt;"""", GOOGLETRANSLATE(S605, ""RO"", ""EN""), """")"),"Ns")</f>
        <v>Ns</v>
      </c>
      <c r="M605" s="5" t="str">
        <f>IFERROR(__xludf.DUMMYFUNCTION("IF(T605&lt;&gt;"""", GOOGLETRANSLATE(T605, ""RO"", ""EN""), """")"),"No.")</f>
        <v>No.</v>
      </c>
      <c r="N605" s="5" t="str">
        <f>IFERROR(__xludf.DUMMYFUNCTION("IF(Y605&lt;&gt;"""", GOOGLETRANSLATE(Y605, ""RO"", ""EN""), """")"),"")</f>
        <v/>
      </c>
      <c r="P605" s="4" t="s">
        <v>552</v>
      </c>
      <c r="Q605" s="4" t="s">
        <v>553</v>
      </c>
      <c r="R605" s="4" t="s">
        <v>554</v>
      </c>
      <c r="S605" s="4" t="s">
        <v>103</v>
      </c>
      <c r="T605" s="4" t="s">
        <v>104</v>
      </c>
      <c r="U605" s="4" t="s">
        <v>555</v>
      </c>
    </row>
    <row r="606" ht="15.75" customHeight="1">
      <c r="A606" s="4" t="s">
        <v>1715</v>
      </c>
      <c r="B606" s="4" t="s">
        <v>1716</v>
      </c>
      <c r="C606" s="4" t="str">
        <f>IFERROR(__xludf.DUMMYFUNCTION("GOOGLETRANSLATE(B606, ""RO"", ""EN"")"),"Have you voted in the elections for the European Parliament in June 2009?")</f>
        <v>Have you voted in the elections for the European Parliament in June 2009?</v>
      </c>
      <c r="D606" s="5" t="str">
        <f>IFERROR(__xludf.DUMMYFUNCTION("IF(O606&lt;&gt;"""", GOOGLETRANSLATE(O606, ""RO"", ""EN""), """")"),"")</f>
        <v/>
      </c>
      <c r="E606" s="6" t="str">
        <f>IFERROR(__xludf.DUMMYFUNCTION("IF(P606&lt;&gt;"""", GOOGLETRANSLATE(P606, ""RO"", ""EN""), """")"),"Yes")</f>
        <v>Yes</v>
      </c>
      <c r="F606" s="5" t="str">
        <f>IFERROR(__xludf.DUMMYFUNCTION("IF(Q606&lt;&gt;"""", GOOGLETRANSLATE(Q606, ""RO"", ""EN""), """")"),"Not")</f>
        <v>Not</v>
      </c>
      <c r="G606" s="5" t="str">
        <f>IFERROR(__xludf.DUMMYFUNCTION("IF(R606&lt;&gt;"""", GOOGLETRANSLATE(R606, ""RO"", ""EN""), """")"),"")</f>
        <v/>
      </c>
      <c r="H606" s="5" t="str">
        <f>IFERROR(__xludf.DUMMYFUNCTION("IF(U606&lt;&gt;"""", GOOGLETRANSLATE(U606, ""RO"", ""EN""), """")"),"")</f>
        <v/>
      </c>
      <c r="I606" s="5" t="str">
        <f>IFERROR(__xludf.DUMMYFUNCTION("IF(V606&lt;&gt;"""", GOOGLETRANSLATE(V606, ""RO"", ""EN""), """")"),"")</f>
        <v/>
      </c>
      <c r="J606" s="5" t="str">
        <f>IFERROR(__xludf.DUMMYFUNCTION("IF(W606&lt;&gt;"""", GOOGLETRANSLATE(W606, ""RO"", ""EN""), """")"),"")</f>
        <v/>
      </c>
      <c r="K606" s="5" t="str">
        <f>IFERROR(__xludf.DUMMYFUNCTION("IF(X606&lt;&gt;"""", GOOGLETRANSLATE(X606, ""RO"", ""EN""), """")"),"")</f>
        <v/>
      </c>
      <c r="L606" s="5" t="str">
        <f>IFERROR(__xludf.DUMMYFUNCTION("IF(S606&lt;&gt;"""", GOOGLETRANSLATE(S606, ""RO"", ""EN""), """")"),"Ns")</f>
        <v>Ns</v>
      </c>
      <c r="M606" s="5" t="str">
        <f>IFERROR(__xludf.DUMMYFUNCTION("IF(T606&lt;&gt;"""", GOOGLETRANSLATE(T606, ""RO"", ""EN""), """")"),"No.")</f>
        <v>No.</v>
      </c>
      <c r="N606" s="5" t="str">
        <f>IFERROR(__xludf.DUMMYFUNCTION("IF(Y606&lt;&gt;"""", GOOGLETRANSLATE(Y606, ""RO"", ""EN""), """")"),"")</f>
        <v/>
      </c>
      <c r="P606" s="4" t="s">
        <v>639</v>
      </c>
      <c r="Q606" s="4" t="s">
        <v>640</v>
      </c>
      <c r="S606" s="4" t="s">
        <v>103</v>
      </c>
      <c r="T606" s="4" t="s">
        <v>104</v>
      </c>
    </row>
    <row r="607" ht="15.75" customHeight="1">
      <c r="A607" s="4" t="s">
        <v>1717</v>
      </c>
      <c r="B607" s="4" t="s">
        <v>693</v>
      </c>
      <c r="C607" s="4" t="str">
        <f>IFERROR(__xludf.DUMMYFUNCTION("GOOGLETRANSLATE(B607, ""RO"", ""EN"")"),"On a scale from 0 to 10, please tell me how much confidence you have in each of the following institutions. It means that you do not trust that institution at all, and 10 means that you have full confidence. If you do not know enough work")</f>
        <v>On a scale from 0 to 10, please tell me how much confidence you have in each of the following institutions. It means that you do not trust that institution at all, and 10 means that you have full confidence. If you do not know enough work</v>
      </c>
      <c r="D607" s="5" t="str">
        <f>IFERROR(__xludf.DUMMYFUNCTION("IF(O607&lt;&gt;"""", GOOGLETRANSLATE(O607, ""RO"", ""EN""), """")"),"Not confidence")</f>
        <v>Not confidence</v>
      </c>
      <c r="E607" s="6" t="str">
        <f>IFERROR(__xludf.DUMMYFUNCTION("IF(P607&lt;&gt;"""", GOOGLETRANSLATE(P607, ""RO"", ""EN""), """")"),"1")</f>
        <v>1</v>
      </c>
      <c r="F607" s="5" t="str">
        <f>IFERROR(__xludf.DUMMYFUNCTION("IF(Q607&lt;&gt;"""", GOOGLETRANSLATE(Q607, ""RO"", ""EN""), """")"),"2")</f>
        <v>2</v>
      </c>
      <c r="G607" s="5" t="str">
        <f>IFERROR(__xludf.DUMMYFUNCTION("IF(R607&lt;&gt;"""", GOOGLETRANSLATE(R607, ""RO"", ""EN""), """")"),"3")</f>
        <v>3</v>
      </c>
      <c r="H607" s="5" t="str">
        <f>IFERROR(__xludf.DUMMYFUNCTION("IF(U607&lt;&gt;"""", GOOGLETRANSLATE(U607, ""RO"", ""EN""), """")"),"4")</f>
        <v>4</v>
      </c>
      <c r="I607" s="5" t="str">
        <f>IFERROR(__xludf.DUMMYFUNCTION("IF(V607&lt;&gt;"""", GOOGLETRANSLATE(V607, ""RO"", ""EN""), """")"),"5")</f>
        <v>5</v>
      </c>
      <c r="J607" s="5" t="str">
        <f>IFERROR(__xludf.DUMMYFUNCTION("IF(W607&lt;&gt;"""", GOOGLETRANSLATE(W607, ""RO"", ""EN""), """")"),"6")</f>
        <v>6</v>
      </c>
      <c r="K607" s="5" t="str">
        <f>IFERROR(__xludf.DUMMYFUNCTION("IF(X607&lt;&gt;"""", GOOGLETRANSLATE(X607, ""RO"", ""EN""), """")"),"7")</f>
        <v>7</v>
      </c>
      <c r="L607" s="5" t="str">
        <f>IFERROR(__xludf.DUMMYFUNCTION("IF(S607&lt;&gt;"""", GOOGLETRANSLATE(S607, ""RO"", ""EN""), """")"),"8")</f>
        <v>8</v>
      </c>
      <c r="M607" s="5" t="str">
        <f>IFERROR(__xludf.DUMMYFUNCTION("IF(T607&lt;&gt;"""", GOOGLETRANSLATE(T607, ""RO"", ""EN""), """")"),"9")</f>
        <v>9</v>
      </c>
      <c r="N607" s="5" t="str">
        <f>IFERROR(__xludf.DUMMYFUNCTION("IF(Y607&lt;&gt;"""", GOOGLETRANSLATE(Y607, ""RO"", ""EN""), """")"),"Full trust")</f>
        <v>Full trust</v>
      </c>
      <c r="O607" s="4" t="s">
        <v>694</v>
      </c>
      <c r="P607" s="4" t="s">
        <v>168</v>
      </c>
      <c r="Q607" s="4" t="s">
        <v>169</v>
      </c>
      <c r="R607" s="4" t="s">
        <v>170</v>
      </c>
      <c r="S607" s="4" t="s">
        <v>171</v>
      </c>
      <c r="T607" s="4" t="s">
        <v>172</v>
      </c>
      <c r="U607" s="4" t="s">
        <v>173</v>
      </c>
      <c r="V607" s="4" t="s">
        <v>174</v>
      </c>
      <c r="W607" s="4" t="s">
        <v>175</v>
      </c>
      <c r="X607" s="4" t="s">
        <v>176</v>
      </c>
      <c r="Y607" s="4" t="s">
        <v>695</v>
      </c>
      <c r="AA607" s="4" t="s">
        <v>103</v>
      </c>
      <c r="AB607" s="4" t="s">
        <v>104</v>
      </c>
    </row>
    <row r="608" ht="15.75" customHeight="1">
      <c r="A608" s="4" t="s">
        <v>1718</v>
      </c>
      <c r="B608" s="4" t="s">
        <v>697</v>
      </c>
      <c r="C608" s="4" t="str">
        <f>IFERROR(__xludf.DUMMYFUNCTION("GOOGLETRANSLATE(B608, ""RO"", ""EN"")"),"The Government of Romania")</f>
        <v>The Government of Romania</v>
      </c>
      <c r="D608" s="5" t="str">
        <f>IFERROR(__xludf.DUMMYFUNCTION("IF(O608&lt;&gt;"""", GOOGLETRANSLATE(O608, ""RO"", ""EN""), """")"),"Not confidence")</f>
        <v>Not confidence</v>
      </c>
      <c r="E608" s="6" t="str">
        <f>IFERROR(__xludf.DUMMYFUNCTION("IF(P608&lt;&gt;"""", GOOGLETRANSLATE(P608, ""RO"", ""EN""), """")"),"1")</f>
        <v>1</v>
      </c>
      <c r="F608" s="5" t="str">
        <f>IFERROR(__xludf.DUMMYFUNCTION("IF(Q608&lt;&gt;"""", GOOGLETRANSLATE(Q608, ""RO"", ""EN""), """")"),"2")</f>
        <v>2</v>
      </c>
      <c r="G608" s="5" t="str">
        <f>IFERROR(__xludf.DUMMYFUNCTION("IF(R608&lt;&gt;"""", GOOGLETRANSLATE(R608, ""RO"", ""EN""), """")"),"3")</f>
        <v>3</v>
      </c>
      <c r="H608" s="5" t="str">
        <f>IFERROR(__xludf.DUMMYFUNCTION("IF(U608&lt;&gt;"""", GOOGLETRANSLATE(U608, ""RO"", ""EN""), """")"),"4")</f>
        <v>4</v>
      </c>
      <c r="I608" s="5" t="str">
        <f>IFERROR(__xludf.DUMMYFUNCTION("IF(V608&lt;&gt;"""", GOOGLETRANSLATE(V608, ""RO"", ""EN""), """")"),"5")</f>
        <v>5</v>
      </c>
      <c r="J608" s="5" t="str">
        <f>IFERROR(__xludf.DUMMYFUNCTION("IF(W608&lt;&gt;"""", GOOGLETRANSLATE(W608, ""RO"", ""EN""), """")"),"6")</f>
        <v>6</v>
      </c>
      <c r="K608" s="5" t="str">
        <f>IFERROR(__xludf.DUMMYFUNCTION("IF(X608&lt;&gt;"""", GOOGLETRANSLATE(X608, ""RO"", ""EN""), """")"),"7")</f>
        <v>7</v>
      </c>
      <c r="L608" s="5" t="str">
        <f>IFERROR(__xludf.DUMMYFUNCTION("IF(S608&lt;&gt;"""", GOOGLETRANSLATE(S608, ""RO"", ""EN""), """")"),"8")</f>
        <v>8</v>
      </c>
      <c r="M608" s="5" t="str">
        <f>IFERROR(__xludf.DUMMYFUNCTION("IF(T608&lt;&gt;"""", GOOGLETRANSLATE(T608, ""RO"", ""EN""), """")"),"9")</f>
        <v>9</v>
      </c>
      <c r="N608" s="5" t="str">
        <f>IFERROR(__xludf.DUMMYFUNCTION("IF(Y608&lt;&gt;"""", GOOGLETRANSLATE(Y608, ""RO"", ""EN""), """")"),"Full trust")</f>
        <v>Full trust</v>
      </c>
      <c r="O608" s="4" t="s">
        <v>694</v>
      </c>
      <c r="P608" s="4" t="s">
        <v>168</v>
      </c>
      <c r="Q608" s="4" t="s">
        <v>169</v>
      </c>
      <c r="R608" s="4" t="s">
        <v>170</v>
      </c>
      <c r="S608" s="4" t="s">
        <v>171</v>
      </c>
      <c r="T608" s="4" t="s">
        <v>172</v>
      </c>
      <c r="U608" s="4" t="s">
        <v>173</v>
      </c>
      <c r="V608" s="4" t="s">
        <v>174</v>
      </c>
      <c r="W608" s="4" t="s">
        <v>175</v>
      </c>
      <c r="X608" s="4" t="s">
        <v>176</v>
      </c>
      <c r="Y608" s="4" t="s">
        <v>695</v>
      </c>
      <c r="AA608" s="4" t="s">
        <v>103</v>
      </c>
      <c r="AB608" s="4" t="s">
        <v>104</v>
      </c>
    </row>
    <row r="609" ht="15.75" customHeight="1">
      <c r="A609" s="4" t="s">
        <v>1719</v>
      </c>
      <c r="B609" s="4" t="s">
        <v>699</v>
      </c>
      <c r="C609" s="4" t="str">
        <f>IFERROR(__xludf.DUMMYFUNCTION("GOOGLETRANSLATE(B609, ""RO"", ""EN"")"),"Political parties in Romania")</f>
        <v>Political parties in Romania</v>
      </c>
      <c r="D609" s="5" t="str">
        <f>IFERROR(__xludf.DUMMYFUNCTION("IF(O609&lt;&gt;"""", GOOGLETRANSLATE(O609, ""RO"", ""EN""), """")"),"Not confidence")</f>
        <v>Not confidence</v>
      </c>
      <c r="E609" s="6" t="str">
        <f>IFERROR(__xludf.DUMMYFUNCTION("IF(P609&lt;&gt;"""", GOOGLETRANSLATE(P609, ""RO"", ""EN""), """")"),"1")</f>
        <v>1</v>
      </c>
      <c r="F609" s="5" t="str">
        <f>IFERROR(__xludf.DUMMYFUNCTION("IF(Q609&lt;&gt;"""", GOOGLETRANSLATE(Q609, ""RO"", ""EN""), """")"),"2")</f>
        <v>2</v>
      </c>
      <c r="G609" s="5" t="str">
        <f>IFERROR(__xludf.DUMMYFUNCTION("IF(R609&lt;&gt;"""", GOOGLETRANSLATE(R609, ""RO"", ""EN""), """")"),"3")</f>
        <v>3</v>
      </c>
      <c r="H609" s="5" t="str">
        <f>IFERROR(__xludf.DUMMYFUNCTION("IF(U609&lt;&gt;"""", GOOGLETRANSLATE(U609, ""RO"", ""EN""), """")"),"4")</f>
        <v>4</v>
      </c>
      <c r="I609" s="5" t="str">
        <f>IFERROR(__xludf.DUMMYFUNCTION("IF(V609&lt;&gt;"""", GOOGLETRANSLATE(V609, ""RO"", ""EN""), """")"),"5")</f>
        <v>5</v>
      </c>
      <c r="J609" s="5" t="str">
        <f>IFERROR(__xludf.DUMMYFUNCTION("IF(W609&lt;&gt;"""", GOOGLETRANSLATE(W609, ""RO"", ""EN""), """")"),"6")</f>
        <v>6</v>
      </c>
      <c r="K609" s="5" t="str">
        <f>IFERROR(__xludf.DUMMYFUNCTION("IF(X609&lt;&gt;"""", GOOGLETRANSLATE(X609, ""RO"", ""EN""), """")"),"7")</f>
        <v>7</v>
      </c>
      <c r="L609" s="5" t="str">
        <f>IFERROR(__xludf.DUMMYFUNCTION("IF(S609&lt;&gt;"""", GOOGLETRANSLATE(S609, ""RO"", ""EN""), """")"),"8")</f>
        <v>8</v>
      </c>
      <c r="M609" s="5" t="str">
        <f>IFERROR(__xludf.DUMMYFUNCTION("IF(T609&lt;&gt;"""", GOOGLETRANSLATE(T609, ""RO"", ""EN""), """")"),"9")</f>
        <v>9</v>
      </c>
      <c r="N609" s="5" t="str">
        <f>IFERROR(__xludf.DUMMYFUNCTION("IF(Y609&lt;&gt;"""", GOOGLETRANSLATE(Y609, ""RO"", ""EN""), """")"),"Full trust")</f>
        <v>Full trust</v>
      </c>
      <c r="O609" s="4" t="s">
        <v>694</v>
      </c>
      <c r="P609" s="4" t="s">
        <v>168</v>
      </c>
      <c r="Q609" s="4" t="s">
        <v>169</v>
      </c>
      <c r="R609" s="4" t="s">
        <v>170</v>
      </c>
      <c r="S609" s="4" t="s">
        <v>171</v>
      </c>
      <c r="T609" s="4" t="s">
        <v>172</v>
      </c>
      <c r="U609" s="4" t="s">
        <v>173</v>
      </c>
      <c r="V609" s="4" t="s">
        <v>174</v>
      </c>
      <c r="W609" s="4" t="s">
        <v>175</v>
      </c>
      <c r="X609" s="4" t="s">
        <v>176</v>
      </c>
      <c r="Y609" s="4" t="s">
        <v>695</v>
      </c>
      <c r="AA609" s="4" t="s">
        <v>103</v>
      </c>
      <c r="AB609" s="4" t="s">
        <v>104</v>
      </c>
    </row>
    <row r="610" ht="15.75" customHeight="1">
      <c r="A610" s="4" t="s">
        <v>1720</v>
      </c>
      <c r="B610" s="4" t="s">
        <v>701</v>
      </c>
      <c r="C610" s="4" t="str">
        <f>IFERROR(__xludf.DUMMYFUNCTION("GOOGLETRANSLATE(B610, ""RO"", ""EN"")"),"Mass media in Romania")</f>
        <v>Mass media in Romania</v>
      </c>
      <c r="D610" s="5" t="str">
        <f>IFERROR(__xludf.DUMMYFUNCTION("IF(O610&lt;&gt;"""", GOOGLETRANSLATE(O610, ""RO"", ""EN""), """")"),"Not confidence")</f>
        <v>Not confidence</v>
      </c>
      <c r="E610" s="6" t="str">
        <f>IFERROR(__xludf.DUMMYFUNCTION("IF(P610&lt;&gt;"""", GOOGLETRANSLATE(P610, ""RO"", ""EN""), """")"),"1")</f>
        <v>1</v>
      </c>
      <c r="F610" s="5" t="str">
        <f>IFERROR(__xludf.DUMMYFUNCTION("IF(Q610&lt;&gt;"""", GOOGLETRANSLATE(Q610, ""RO"", ""EN""), """")"),"2")</f>
        <v>2</v>
      </c>
      <c r="G610" s="5" t="str">
        <f>IFERROR(__xludf.DUMMYFUNCTION("IF(R610&lt;&gt;"""", GOOGLETRANSLATE(R610, ""RO"", ""EN""), """")"),"3")</f>
        <v>3</v>
      </c>
      <c r="H610" s="5" t="str">
        <f>IFERROR(__xludf.DUMMYFUNCTION("IF(U610&lt;&gt;"""", GOOGLETRANSLATE(U610, ""RO"", ""EN""), """")"),"4")</f>
        <v>4</v>
      </c>
      <c r="I610" s="5" t="str">
        <f>IFERROR(__xludf.DUMMYFUNCTION("IF(V610&lt;&gt;"""", GOOGLETRANSLATE(V610, ""RO"", ""EN""), """")"),"5")</f>
        <v>5</v>
      </c>
      <c r="J610" s="5" t="str">
        <f>IFERROR(__xludf.DUMMYFUNCTION("IF(W610&lt;&gt;"""", GOOGLETRANSLATE(W610, ""RO"", ""EN""), """")"),"6")</f>
        <v>6</v>
      </c>
      <c r="K610" s="5" t="str">
        <f>IFERROR(__xludf.DUMMYFUNCTION("IF(X610&lt;&gt;"""", GOOGLETRANSLATE(X610, ""RO"", ""EN""), """")"),"7")</f>
        <v>7</v>
      </c>
      <c r="L610" s="5" t="str">
        <f>IFERROR(__xludf.DUMMYFUNCTION("IF(S610&lt;&gt;"""", GOOGLETRANSLATE(S610, ""RO"", ""EN""), """")"),"8")</f>
        <v>8</v>
      </c>
      <c r="M610" s="5" t="str">
        <f>IFERROR(__xludf.DUMMYFUNCTION("IF(T610&lt;&gt;"""", GOOGLETRANSLATE(T610, ""RO"", ""EN""), """")"),"9")</f>
        <v>9</v>
      </c>
      <c r="N610" s="5" t="str">
        <f>IFERROR(__xludf.DUMMYFUNCTION("IF(Y610&lt;&gt;"""", GOOGLETRANSLATE(Y610, ""RO"", ""EN""), """")"),"Full trust")</f>
        <v>Full trust</v>
      </c>
      <c r="O610" s="4" t="s">
        <v>694</v>
      </c>
      <c r="P610" s="4" t="s">
        <v>168</v>
      </c>
      <c r="Q610" s="4" t="s">
        <v>169</v>
      </c>
      <c r="R610" s="4" t="s">
        <v>170</v>
      </c>
      <c r="S610" s="4" t="s">
        <v>171</v>
      </c>
      <c r="T610" s="4" t="s">
        <v>172</v>
      </c>
      <c r="U610" s="4" t="s">
        <v>173</v>
      </c>
      <c r="V610" s="4" t="s">
        <v>174</v>
      </c>
      <c r="W610" s="4" t="s">
        <v>175</v>
      </c>
      <c r="X610" s="4" t="s">
        <v>176</v>
      </c>
      <c r="Y610" s="4" t="s">
        <v>695</v>
      </c>
      <c r="AA610" s="4" t="s">
        <v>103</v>
      </c>
      <c r="AB610" s="4" t="s">
        <v>104</v>
      </c>
    </row>
    <row r="611" ht="15.75" customHeight="1">
      <c r="A611" s="4" t="s">
        <v>1721</v>
      </c>
      <c r="B611" s="4" t="s">
        <v>707</v>
      </c>
      <c r="C611" s="4" t="str">
        <f>IFERROR(__xludf.DUMMYFUNCTION("GOOGLETRANSLATE(B611, ""RO"", ""EN"")"),"Presidency")</f>
        <v>Presidency</v>
      </c>
      <c r="D611" s="5" t="str">
        <f>IFERROR(__xludf.DUMMYFUNCTION("IF(O611&lt;&gt;"""", GOOGLETRANSLATE(O611, ""RO"", ""EN""), """")"),"Not confidence")</f>
        <v>Not confidence</v>
      </c>
      <c r="E611" s="6" t="str">
        <f>IFERROR(__xludf.DUMMYFUNCTION("IF(P611&lt;&gt;"""", GOOGLETRANSLATE(P611, ""RO"", ""EN""), """")"),"1")</f>
        <v>1</v>
      </c>
      <c r="F611" s="5" t="str">
        <f>IFERROR(__xludf.DUMMYFUNCTION("IF(Q611&lt;&gt;"""", GOOGLETRANSLATE(Q611, ""RO"", ""EN""), """")"),"2")</f>
        <v>2</v>
      </c>
      <c r="G611" s="5" t="str">
        <f>IFERROR(__xludf.DUMMYFUNCTION("IF(R611&lt;&gt;"""", GOOGLETRANSLATE(R611, ""RO"", ""EN""), """")"),"3")</f>
        <v>3</v>
      </c>
      <c r="H611" s="5" t="str">
        <f>IFERROR(__xludf.DUMMYFUNCTION("IF(U611&lt;&gt;"""", GOOGLETRANSLATE(U611, ""RO"", ""EN""), """")"),"4")</f>
        <v>4</v>
      </c>
      <c r="I611" s="5" t="str">
        <f>IFERROR(__xludf.DUMMYFUNCTION("IF(V611&lt;&gt;"""", GOOGLETRANSLATE(V611, ""RO"", ""EN""), """")"),"5")</f>
        <v>5</v>
      </c>
      <c r="J611" s="5" t="str">
        <f>IFERROR(__xludf.DUMMYFUNCTION("IF(W611&lt;&gt;"""", GOOGLETRANSLATE(W611, ""RO"", ""EN""), """")"),"6")</f>
        <v>6</v>
      </c>
      <c r="K611" s="5" t="str">
        <f>IFERROR(__xludf.DUMMYFUNCTION("IF(X611&lt;&gt;"""", GOOGLETRANSLATE(X611, ""RO"", ""EN""), """")"),"7")</f>
        <v>7</v>
      </c>
      <c r="L611" s="5" t="str">
        <f>IFERROR(__xludf.DUMMYFUNCTION("IF(S611&lt;&gt;"""", GOOGLETRANSLATE(S611, ""RO"", ""EN""), """")"),"8")</f>
        <v>8</v>
      </c>
      <c r="M611" s="5" t="str">
        <f>IFERROR(__xludf.DUMMYFUNCTION("IF(T611&lt;&gt;"""", GOOGLETRANSLATE(T611, ""RO"", ""EN""), """")"),"9")</f>
        <v>9</v>
      </c>
      <c r="N611" s="5" t="str">
        <f>IFERROR(__xludf.DUMMYFUNCTION("IF(Y611&lt;&gt;"""", GOOGLETRANSLATE(Y611, ""RO"", ""EN""), """")"),"Full trust")</f>
        <v>Full trust</v>
      </c>
      <c r="O611" s="4" t="s">
        <v>694</v>
      </c>
      <c r="P611" s="4" t="s">
        <v>168</v>
      </c>
      <c r="Q611" s="4" t="s">
        <v>169</v>
      </c>
      <c r="R611" s="4" t="s">
        <v>170</v>
      </c>
      <c r="S611" s="4" t="s">
        <v>171</v>
      </c>
      <c r="T611" s="4" t="s">
        <v>172</v>
      </c>
      <c r="U611" s="4" t="s">
        <v>173</v>
      </c>
      <c r="V611" s="4" t="s">
        <v>174</v>
      </c>
      <c r="W611" s="4" t="s">
        <v>175</v>
      </c>
      <c r="X611" s="4" t="s">
        <v>176</v>
      </c>
      <c r="Y611" s="4" t="s">
        <v>695</v>
      </c>
      <c r="AA611" s="4" t="s">
        <v>103</v>
      </c>
      <c r="AB611" s="4" t="s">
        <v>104</v>
      </c>
    </row>
    <row r="612" ht="15.75" customHeight="1">
      <c r="A612" s="4" t="s">
        <v>1722</v>
      </c>
      <c r="B612" s="4" t="s">
        <v>1723</v>
      </c>
      <c r="C612" s="4" t="str">
        <f>IFERROR(__xludf.DUMMYFUNCTION("GOOGLETRANSLATE(B612, ""RO"", ""EN"")"),"City Hall of the locality where you live (Bucharest: City Hall)")</f>
        <v>City Hall of the locality where you live (Bucharest: City Hall)</v>
      </c>
      <c r="D612" s="5" t="str">
        <f>IFERROR(__xludf.DUMMYFUNCTION("IF(O612&lt;&gt;"""", GOOGLETRANSLATE(O612, ""RO"", ""EN""), """")"),"Not confidence")</f>
        <v>Not confidence</v>
      </c>
      <c r="E612" s="6" t="str">
        <f>IFERROR(__xludf.DUMMYFUNCTION("IF(P612&lt;&gt;"""", GOOGLETRANSLATE(P612, ""RO"", ""EN""), """")"),"1")</f>
        <v>1</v>
      </c>
      <c r="F612" s="5" t="str">
        <f>IFERROR(__xludf.DUMMYFUNCTION("IF(Q612&lt;&gt;"""", GOOGLETRANSLATE(Q612, ""RO"", ""EN""), """")"),"2")</f>
        <v>2</v>
      </c>
      <c r="G612" s="5" t="str">
        <f>IFERROR(__xludf.DUMMYFUNCTION("IF(R612&lt;&gt;"""", GOOGLETRANSLATE(R612, ""RO"", ""EN""), """")"),"3")</f>
        <v>3</v>
      </c>
      <c r="H612" s="5" t="str">
        <f>IFERROR(__xludf.DUMMYFUNCTION("IF(U612&lt;&gt;"""", GOOGLETRANSLATE(U612, ""RO"", ""EN""), """")"),"4")</f>
        <v>4</v>
      </c>
      <c r="I612" s="5" t="str">
        <f>IFERROR(__xludf.DUMMYFUNCTION("IF(V612&lt;&gt;"""", GOOGLETRANSLATE(V612, ""RO"", ""EN""), """")"),"5")</f>
        <v>5</v>
      </c>
      <c r="J612" s="5" t="str">
        <f>IFERROR(__xludf.DUMMYFUNCTION("IF(W612&lt;&gt;"""", GOOGLETRANSLATE(W612, ""RO"", ""EN""), """")"),"6")</f>
        <v>6</v>
      </c>
      <c r="K612" s="5" t="str">
        <f>IFERROR(__xludf.DUMMYFUNCTION("IF(X612&lt;&gt;"""", GOOGLETRANSLATE(X612, ""RO"", ""EN""), """")"),"7")</f>
        <v>7</v>
      </c>
      <c r="L612" s="5" t="str">
        <f>IFERROR(__xludf.DUMMYFUNCTION("IF(S612&lt;&gt;"""", GOOGLETRANSLATE(S612, ""RO"", ""EN""), """")"),"8")</f>
        <v>8</v>
      </c>
      <c r="M612" s="5" t="str">
        <f>IFERROR(__xludf.DUMMYFUNCTION("IF(T612&lt;&gt;"""", GOOGLETRANSLATE(T612, ""RO"", ""EN""), """")"),"9")</f>
        <v>9</v>
      </c>
      <c r="N612" s="5" t="str">
        <f>IFERROR(__xludf.DUMMYFUNCTION("IF(Y612&lt;&gt;"""", GOOGLETRANSLATE(Y612, ""RO"", ""EN""), """")"),"Full trust")</f>
        <v>Full trust</v>
      </c>
      <c r="O612" s="4" t="s">
        <v>694</v>
      </c>
      <c r="P612" s="4" t="s">
        <v>168</v>
      </c>
      <c r="Q612" s="4" t="s">
        <v>169</v>
      </c>
      <c r="R612" s="4" t="s">
        <v>170</v>
      </c>
      <c r="S612" s="4" t="s">
        <v>171</v>
      </c>
      <c r="T612" s="4" t="s">
        <v>172</v>
      </c>
      <c r="U612" s="4" t="s">
        <v>173</v>
      </c>
      <c r="V612" s="4" t="s">
        <v>174</v>
      </c>
      <c r="W612" s="4" t="s">
        <v>175</v>
      </c>
      <c r="X612" s="4" t="s">
        <v>176</v>
      </c>
      <c r="Y612" s="4" t="s">
        <v>695</v>
      </c>
      <c r="AA612" s="4" t="s">
        <v>103</v>
      </c>
      <c r="AB612" s="4" t="s">
        <v>104</v>
      </c>
    </row>
    <row r="613" ht="15.75" customHeight="1">
      <c r="A613" s="4" t="s">
        <v>1724</v>
      </c>
      <c r="B613" s="4" t="s">
        <v>711</v>
      </c>
      <c r="C613" s="4" t="str">
        <f>IFERROR(__xludf.DUMMYFUNCTION("GOOGLETRANSLATE(B613, ""RO"", ""EN"")"),"Justice")</f>
        <v>Justice</v>
      </c>
      <c r="D613" s="5" t="str">
        <f>IFERROR(__xludf.DUMMYFUNCTION("IF(O613&lt;&gt;"""", GOOGLETRANSLATE(O613, ""RO"", ""EN""), """")"),"Not confidence")</f>
        <v>Not confidence</v>
      </c>
      <c r="E613" s="6" t="str">
        <f>IFERROR(__xludf.DUMMYFUNCTION("IF(P613&lt;&gt;"""", GOOGLETRANSLATE(P613, ""RO"", ""EN""), """")"),"1")</f>
        <v>1</v>
      </c>
      <c r="F613" s="5" t="str">
        <f>IFERROR(__xludf.DUMMYFUNCTION("IF(Q613&lt;&gt;"""", GOOGLETRANSLATE(Q613, ""RO"", ""EN""), """")"),"2")</f>
        <v>2</v>
      </c>
      <c r="G613" s="5" t="str">
        <f>IFERROR(__xludf.DUMMYFUNCTION("IF(R613&lt;&gt;"""", GOOGLETRANSLATE(R613, ""RO"", ""EN""), """")"),"3")</f>
        <v>3</v>
      </c>
      <c r="H613" s="5" t="str">
        <f>IFERROR(__xludf.DUMMYFUNCTION("IF(U613&lt;&gt;"""", GOOGLETRANSLATE(U613, ""RO"", ""EN""), """")"),"4")</f>
        <v>4</v>
      </c>
      <c r="I613" s="5" t="str">
        <f>IFERROR(__xludf.DUMMYFUNCTION("IF(V613&lt;&gt;"""", GOOGLETRANSLATE(V613, ""RO"", ""EN""), """")"),"5")</f>
        <v>5</v>
      </c>
      <c r="J613" s="5" t="str">
        <f>IFERROR(__xludf.DUMMYFUNCTION("IF(W613&lt;&gt;"""", GOOGLETRANSLATE(W613, ""RO"", ""EN""), """")"),"6")</f>
        <v>6</v>
      </c>
      <c r="K613" s="5" t="str">
        <f>IFERROR(__xludf.DUMMYFUNCTION("IF(X613&lt;&gt;"""", GOOGLETRANSLATE(X613, ""RO"", ""EN""), """")"),"7")</f>
        <v>7</v>
      </c>
      <c r="L613" s="5" t="str">
        <f>IFERROR(__xludf.DUMMYFUNCTION("IF(S613&lt;&gt;"""", GOOGLETRANSLATE(S613, ""RO"", ""EN""), """")"),"8")</f>
        <v>8</v>
      </c>
      <c r="M613" s="5" t="str">
        <f>IFERROR(__xludf.DUMMYFUNCTION("IF(T613&lt;&gt;"""", GOOGLETRANSLATE(T613, ""RO"", ""EN""), """")"),"9")</f>
        <v>9</v>
      </c>
      <c r="N613" s="5" t="str">
        <f>IFERROR(__xludf.DUMMYFUNCTION("IF(Y613&lt;&gt;"""", GOOGLETRANSLATE(Y613, ""RO"", ""EN""), """")"),"Full trust")</f>
        <v>Full trust</v>
      </c>
      <c r="O613" s="4" t="s">
        <v>694</v>
      </c>
      <c r="P613" s="4" t="s">
        <v>168</v>
      </c>
      <c r="Q613" s="4" t="s">
        <v>169</v>
      </c>
      <c r="R613" s="4" t="s">
        <v>170</v>
      </c>
      <c r="S613" s="4" t="s">
        <v>171</v>
      </c>
      <c r="T613" s="4" t="s">
        <v>172</v>
      </c>
      <c r="U613" s="4" t="s">
        <v>173</v>
      </c>
      <c r="V613" s="4" t="s">
        <v>174</v>
      </c>
      <c r="W613" s="4" t="s">
        <v>175</v>
      </c>
      <c r="X613" s="4" t="s">
        <v>176</v>
      </c>
      <c r="Y613" s="4" t="s">
        <v>695</v>
      </c>
      <c r="AA613" s="4" t="s">
        <v>103</v>
      </c>
      <c r="AB613" s="4" t="s">
        <v>104</v>
      </c>
    </row>
    <row r="614" ht="15.75" customHeight="1">
      <c r="A614" s="4" t="s">
        <v>1725</v>
      </c>
      <c r="B614" s="4" t="s">
        <v>1726</v>
      </c>
      <c r="C614" s="4" t="str">
        <f>IFERROR(__xludf.DUMMYFUNCTION("GOOGLETRANSLATE(B614, ""RO"", ""EN"")"),"How well do you think it would be for Romania ... to have a strong leader, who does not beat his head and the elections")</f>
        <v>How well do you think it would be for Romania ... to have a strong leader, who does not beat his head and the elections</v>
      </c>
      <c r="D614" s="5" t="str">
        <f>IFERROR(__xludf.DUMMYFUNCTION("IF(O614&lt;&gt;"""", GOOGLETRANSLATE(O614, ""RO"", ""EN""), """")"),"")</f>
        <v/>
      </c>
      <c r="E614" s="6" t="str">
        <f>IFERROR(__xludf.DUMMYFUNCTION("IF(P614&lt;&gt;"""", GOOGLETRANSLATE(P614, ""RO"", ""EN""), """")"),"Very good")</f>
        <v>Very good</v>
      </c>
      <c r="F614" s="5" t="str">
        <f>IFERROR(__xludf.DUMMYFUNCTION("IF(Q614&lt;&gt;"""", GOOGLETRANSLATE(Q614, ""RO"", ""EN""), """")"),"Good")</f>
        <v>Good</v>
      </c>
      <c r="G614" s="5" t="str">
        <f>IFERROR(__xludf.DUMMYFUNCTION("IF(R614&lt;&gt;"""", GOOGLETRANSLATE(R614, ""RO"", ""EN""), """")"),"Dumbass")</f>
        <v>Dumbass</v>
      </c>
      <c r="H614" s="5" t="str">
        <f>IFERROR(__xludf.DUMMYFUNCTION("IF(U614&lt;&gt;"""", GOOGLETRANSLATE(U614, ""RO"", ""EN""), """")"),"Very bad")</f>
        <v>Very bad</v>
      </c>
      <c r="I614" s="5" t="str">
        <f>IFERROR(__xludf.DUMMYFUNCTION("IF(V614&lt;&gt;"""", GOOGLETRANSLATE(V614, ""RO"", ""EN""), """")"),"")</f>
        <v/>
      </c>
      <c r="J614" s="5" t="str">
        <f>IFERROR(__xludf.DUMMYFUNCTION("IF(W614&lt;&gt;"""", GOOGLETRANSLATE(W614, ""RO"", ""EN""), """")"),"")</f>
        <v/>
      </c>
      <c r="K614" s="5" t="str">
        <f>IFERROR(__xludf.DUMMYFUNCTION("IF(X614&lt;&gt;"""", GOOGLETRANSLATE(X614, ""RO"", ""EN""), """")"),"")</f>
        <v/>
      </c>
      <c r="L614" s="5" t="str">
        <f>IFERROR(__xludf.DUMMYFUNCTION("IF(S614&lt;&gt;"""", GOOGLETRANSLATE(S614, ""RO"", ""EN""), """")"),"Ns")</f>
        <v>Ns</v>
      </c>
      <c r="M614" s="5" t="str">
        <f>IFERROR(__xludf.DUMMYFUNCTION("IF(T614&lt;&gt;"""", GOOGLETRANSLATE(T614, ""RO"", ""EN""), """")"),"No.")</f>
        <v>No.</v>
      </c>
      <c r="N614" s="5" t="str">
        <f>IFERROR(__xludf.DUMMYFUNCTION("IF(Y614&lt;&gt;"""", GOOGLETRANSLATE(Y614, ""RO"", ""EN""), """")"),"")</f>
        <v/>
      </c>
      <c r="P614" s="4" t="s">
        <v>1727</v>
      </c>
      <c r="Q614" s="4" t="s">
        <v>1728</v>
      </c>
      <c r="R614" s="4" t="s">
        <v>1729</v>
      </c>
      <c r="S614" s="4" t="s">
        <v>103</v>
      </c>
      <c r="T614" s="4" t="s">
        <v>104</v>
      </c>
      <c r="U614" s="4" t="s">
        <v>1730</v>
      </c>
    </row>
    <row r="615" ht="15.75" customHeight="1">
      <c r="A615" s="4" t="s">
        <v>1731</v>
      </c>
      <c r="B615" s="4" t="s">
        <v>1732</v>
      </c>
      <c r="C615" s="4" t="str">
        <f>IFERROR(__xludf.DUMMYFUNCTION("GOOGLETRANSLATE(B615, ""RO"", ""EN"")"),"To have a government of specialists leading the country as they think it is better for the country")</f>
        <v>To have a government of specialists leading the country as they think it is better for the country</v>
      </c>
      <c r="D615" s="5" t="str">
        <f>IFERROR(__xludf.DUMMYFUNCTION("IF(O615&lt;&gt;"""", GOOGLETRANSLATE(O615, ""RO"", ""EN""), """")"),"")</f>
        <v/>
      </c>
      <c r="E615" s="6" t="str">
        <f>IFERROR(__xludf.DUMMYFUNCTION("IF(P615&lt;&gt;"""", GOOGLETRANSLATE(P615, ""RO"", ""EN""), """")"),"Very good")</f>
        <v>Very good</v>
      </c>
      <c r="F615" s="5" t="str">
        <f>IFERROR(__xludf.DUMMYFUNCTION("IF(Q615&lt;&gt;"""", GOOGLETRANSLATE(Q615, ""RO"", ""EN""), """")"),"Good")</f>
        <v>Good</v>
      </c>
      <c r="G615" s="5" t="str">
        <f>IFERROR(__xludf.DUMMYFUNCTION("IF(R615&lt;&gt;"""", GOOGLETRANSLATE(R615, ""RO"", ""EN""), """")"),"Dumbass")</f>
        <v>Dumbass</v>
      </c>
      <c r="H615" s="5" t="str">
        <f>IFERROR(__xludf.DUMMYFUNCTION("IF(U615&lt;&gt;"""", GOOGLETRANSLATE(U615, ""RO"", ""EN""), """")"),"Very bad")</f>
        <v>Very bad</v>
      </c>
      <c r="I615" s="5" t="str">
        <f>IFERROR(__xludf.DUMMYFUNCTION("IF(V615&lt;&gt;"""", GOOGLETRANSLATE(V615, ""RO"", ""EN""), """")"),"")</f>
        <v/>
      </c>
      <c r="J615" s="5" t="str">
        <f>IFERROR(__xludf.DUMMYFUNCTION("IF(W615&lt;&gt;"""", GOOGLETRANSLATE(W615, ""RO"", ""EN""), """")"),"")</f>
        <v/>
      </c>
      <c r="K615" s="5" t="str">
        <f>IFERROR(__xludf.DUMMYFUNCTION("IF(X615&lt;&gt;"""", GOOGLETRANSLATE(X615, ""RO"", ""EN""), """")"),"")</f>
        <v/>
      </c>
      <c r="L615" s="5" t="str">
        <f>IFERROR(__xludf.DUMMYFUNCTION("IF(S615&lt;&gt;"""", GOOGLETRANSLATE(S615, ""RO"", ""EN""), """")"),"Ns")</f>
        <v>Ns</v>
      </c>
      <c r="M615" s="5" t="str">
        <f>IFERROR(__xludf.DUMMYFUNCTION("IF(T615&lt;&gt;"""", GOOGLETRANSLATE(T615, ""RO"", ""EN""), """")"),"No.")</f>
        <v>No.</v>
      </c>
      <c r="N615" s="5" t="str">
        <f>IFERROR(__xludf.DUMMYFUNCTION("IF(Y615&lt;&gt;"""", GOOGLETRANSLATE(Y615, ""RO"", ""EN""), """")"),"")</f>
        <v/>
      </c>
      <c r="P615" s="4" t="s">
        <v>1727</v>
      </c>
      <c r="Q615" s="4" t="s">
        <v>1728</v>
      </c>
      <c r="R615" s="4" t="s">
        <v>1729</v>
      </c>
      <c r="S615" s="4" t="s">
        <v>103</v>
      </c>
      <c r="T615" s="4" t="s">
        <v>104</v>
      </c>
      <c r="U615" s="4" t="s">
        <v>1730</v>
      </c>
    </row>
    <row r="616" ht="15.75" customHeight="1">
      <c r="A616" s="4" t="s">
        <v>1733</v>
      </c>
      <c r="B616" s="4" t="s">
        <v>1734</v>
      </c>
      <c r="C616" s="4" t="str">
        <f>IFERROR(__xludf.DUMMYFUNCTION("GOOGLETRANSLATE(B616, ""RO"", ""EN"")"),"To have a democratic political system")</f>
        <v>To have a democratic political system</v>
      </c>
      <c r="D616" s="5" t="str">
        <f>IFERROR(__xludf.DUMMYFUNCTION("IF(O616&lt;&gt;"""", GOOGLETRANSLATE(O616, ""RO"", ""EN""), """")"),"")</f>
        <v/>
      </c>
      <c r="E616" s="6" t="str">
        <f>IFERROR(__xludf.DUMMYFUNCTION("IF(P616&lt;&gt;"""", GOOGLETRANSLATE(P616, ""RO"", ""EN""), """")"),"Very good")</f>
        <v>Very good</v>
      </c>
      <c r="F616" s="5" t="str">
        <f>IFERROR(__xludf.DUMMYFUNCTION("IF(Q616&lt;&gt;"""", GOOGLETRANSLATE(Q616, ""RO"", ""EN""), """")"),"Good")</f>
        <v>Good</v>
      </c>
      <c r="G616" s="5" t="str">
        <f>IFERROR(__xludf.DUMMYFUNCTION("IF(R616&lt;&gt;"""", GOOGLETRANSLATE(R616, ""RO"", ""EN""), """")"),"Dumbass")</f>
        <v>Dumbass</v>
      </c>
      <c r="H616" s="5" t="str">
        <f>IFERROR(__xludf.DUMMYFUNCTION("IF(U616&lt;&gt;"""", GOOGLETRANSLATE(U616, ""RO"", ""EN""), """")"),"Very bad")</f>
        <v>Very bad</v>
      </c>
      <c r="I616" s="5" t="str">
        <f>IFERROR(__xludf.DUMMYFUNCTION("IF(V616&lt;&gt;"""", GOOGLETRANSLATE(V616, ""RO"", ""EN""), """")"),"")</f>
        <v/>
      </c>
      <c r="J616" s="5" t="str">
        <f>IFERROR(__xludf.DUMMYFUNCTION("IF(W616&lt;&gt;"""", GOOGLETRANSLATE(W616, ""RO"", ""EN""), """")"),"")</f>
        <v/>
      </c>
      <c r="K616" s="5" t="str">
        <f>IFERROR(__xludf.DUMMYFUNCTION("IF(X616&lt;&gt;"""", GOOGLETRANSLATE(X616, ""RO"", ""EN""), """")"),"")</f>
        <v/>
      </c>
      <c r="L616" s="5" t="str">
        <f>IFERROR(__xludf.DUMMYFUNCTION("IF(S616&lt;&gt;"""", GOOGLETRANSLATE(S616, ""RO"", ""EN""), """")"),"Ns")</f>
        <v>Ns</v>
      </c>
      <c r="M616" s="5" t="str">
        <f>IFERROR(__xludf.DUMMYFUNCTION("IF(T616&lt;&gt;"""", GOOGLETRANSLATE(T616, ""RO"", ""EN""), """")"),"No.")</f>
        <v>No.</v>
      </c>
      <c r="N616" s="5" t="str">
        <f>IFERROR(__xludf.DUMMYFUNCTION("IF(Y616&lt;&gt;"""", GOOGLETRANSLATE(Y616, ""RO"", ""EN""), """")"),"")</f>
        <v/>
      </c>
      <c r="P616" s="4" t="s">
        <v>1727</v>
      </c>
      <c r="Q616" s="4" t="s">
        <v>1728</v>
      </c>
      <c r="R616" s="4" t="s">
        <v>1729</v>
      </c>
      <c r="S616" s="4" t="s">
        <v>103</v>
      </c>
      <c r="T616" s="4" t="s">
        <v>104</v>
      </c>
      <c r="U616" s="4" t="s">
        <v>1730</v>
      </c>
    </row>
    <row r="617" ht="15.75" customHeight="1">
      <c r="A617" s="4" t="s">
        <v>1735</v>
      </c>
      <c r="B617" s="4" t="s">
        <v>1736</v>
      </c>
      <c r="C617" s="4" t="str">
        <f>IFERROR(__xludf.DUMMYFUNCTION("GOOGLETRANSLATE(B617, ""RO"", ""EN"")"),"Are you a member of any of the following associations / organizations? Social services for old, disabled or poor")</f>
        <v>Are you a member of any of the following associations / organizations? Social services for old, disabled or poor</v>
      </c>
      <c r="D617" s="5" t="str">
        <f>IFERROR(__xludf.DUMMYFUNCTION("IF(O617&lt;&gt;"""", GOOGLETRANSLATE(O617, ""RO"", ""EN""), """")"),"")</f>
        <v/>
      </c>
      <c r="E617" s="6" t="str">
        <f>IFERROR(__xludf.DUMMYFUNCTION("IF(P617&lt;&gt;"""", GOOGLETRANSLATE(P617, ""RO"", ""EN""), """")"),"mention")</f>
        <v>mention</v>
      </c>
      <c r="F617" s="5" t="str">
        <f>IFERROR(__xludf.DUMMYFUNCTION("IF(Q617&lt;&gt;"""", GOOGLETRANSLATE(Q617, ""RO"", ""EN""), """")"),"Does not mention")</f>
        <v>Does not mention</v>
      </c>
      <c r="G617" s="5" t="str">
        <f>IFERROR(__xludf.DUMMYFUNCTION("IF(R617&lt;&gt;"""", GOOGLETRANSLATE(R617, ""RO"", ""EN""), """")"),"")</f>
        <v/>
      </c>
      <c r="H617" s="5" t="str">
        <f>IFERROR(__xludf.DUMMYFUNCTION("IF(U617&lt;&gt;"""", GOOGLETRANSLATE(U617, ""RO"", ""EN""), """")"),"")</f>
        <v/>
      </c>
      <c r="I617" s="5" t="str">
        <f>IFERROR(__xludf.DUMMYFUNCTION("IF(V617&lt;&gt;"""", GOOGLETRANSLATE(V617, ""RO"", ""EN""), """")"),"")</f>
        <v/>
      </c>
      <c r="J617" s="5" t="str">
        <f>IFERROR(__xludf.DUMMYFUNCTION("IF(W617&lt;&gt;"""", GOOGLETRANSLATE(W617, ""RO"", ""EN""), """")"),"")</f>
        <v/>
      </c>
      <c r="K617" s="5" t="str">
        <f>IFERROR(__xludf.DUMMYFUNCTION("IF(X617&lt;&gt;"""", GOOGLETRANSLATE(X617, ""RO"", ""EN""), """")"),"")</f>
        <v/>
      </c>
      <c r="L617" s="5" t="str">
        <f>IFERROR(__xludf.DUMMYFUNCTION("IF(S617&lt;&gt;"""", GOOGLETRANSLATE(S617, ""RO"", ""EN""), """")"),"")</f>
        <v/>
      </c>
      <c r="M617" s="5" t="str">
        <f>IFERROR(__xludf.DUMMYFUNCTION("IF(T617&lt;&gt;"""", GOOGLETRANSLATE(T617, ""RO"", ""EN""), """")"),"No.")</f>
        <v>No.</v>
      </c>
      <c r="N617" s="5" t="str">
        <f>IFERROR(__xludf.DUMMYFUNCTION("IF(Y617&lt;&gt;"""", GOOGLETRANSLATE(Y617, ""RO"", ""EN""), """")"),"")</f>
        <v/>
      </c>
      <c r="P617" s="4" t="s">
        <v>1737</v>
      </c>
      <c r="Q617" s="4" t="s">
        <v>1738</v>
      </c>
      <c r="T617" s="4" t="s">
        <v>104</v>
      </c>
    </row>
    <row r="618" ht="15.75" customHeight="1">
      <c r="A618" s="4" t="s">
        <v>1739</v>
      </c>
      <c r="B618" s="4" t="s">
        <v>1740</v>
      </c>
      <c r="C618" s="4" t="str">
        <f>IFERROR(__xludf.DUMMYFUNCTION("GOOGLETRANSLATE(B618, ""RO"", ""EN"")"),"Religious or church organizations")</f>
        <v>Religious or church organizations</v>
      </c>
      <c r="D618" s="5" t="str">
        <f>IFERROR(__xludf.DUMMYFUNCTION("IF(O618&lt;&gt;"""", GOOGLETRANSLATE(O618, ""RO"", ""EN""), """")"),"")</f>
        <v/>
      </c>
      <c r="E618" s="6" t="str">
        <f>IFERROR(__xludf.DUMMYFUNCTION("IF(P618&lt;&gt;"""", GOOGLETRANSLATE(P618, ""RO"", ""EN""), """")"),"mention")</f>
        <v>mention</v>
      </c>
      <c r="F618" s="5" t="str">
        <f>IFERROR(__xludf.DUMMYFUNCTION("IF(Q618&lt;&gt;"""", GOOGLETRANSLATE(Q618, ""RO"", ""EN""), """")"),"Does not mention")</f>
        <v>Does not mention</v>
      </c>
      <c r="G618" s="5" t="str">
        <f>IFERROR(__xludf.DUMMYFUNCTION("IF(R618&lt;&gt;"""", GOOGLETRANSLATE(R618, ""RO"", ""EN""), """")"),"")</f>
        <v/>
      </c>
      <c r="H618" s="5" t="str">
        <f>IFERROR(__xludf.DUMMYFUNCTION("IF(U618&lt;&gt;"""", GOOGLETRANSLATE(U618, ""RO"", ""EN""), """")"),"")</f>
        <v/>
      </c>
      <c r="I618" s="5" t="str">
        <f>IFERROR(__xludf.DUMMYFUNCTION("IF(V618&lt;&gt;"""", GOOGLETRANSLATE(V618, ""RO"", ""EN""), """")"),"")</f>
        <v/>
      </c>
      <c r="J618" s="5" t="str">
        <f>IFERROR(__xludf.DUMMYFUNCTION("IF(W618&lt;&gt;"""", GOOGLETRANSLATE(W618, ""RO"", ""EN""), """")"),"")</f>
        <v/>
      </c>
      <c r="K618" s="5" t="str">
        <f>IFERROR(__xludf.DUMMYFUNCTION("IF(X618&lt;&gt;"""", GOOGLETRANSLATE(X618, ""RO"", ""EN""), """")"),"")</f>
        <v/>
      </c>
      <c r="L618" s="5" t="str">
        <f>IFERROR(__xludf.DUMMYFUNCTION("IF(S618&lt;&gt;"""", GOOGLETRANSLATE(S618, ""RO"", ""EN""), """")"),"")</f>
        <v/>
      </c>
      <c r="M618" s="5" t="str">
        <f>IFERROR(__xludf.DUMMYFUNCTION("IF(T618&lt;&gt;"""", GOOGLETRANSLATE(T618, ""RO"", ""EN""), """")"),"No.")</f>
        <v>No.</v>
      </c>
      <c r="N618" s="5" t="str">
        <f>IFERROR(__xludf.DUMMYFUNCTION("IF(Y618&lt;&gt;"""", GOOGLETRANSLATE(Y618, ""RO"", ""EN""), """")"),"")</f>
        <v/>
      </c>
      <c r="P618" s="4" t="s">
        <v>1737</v>
      </c>
      <c r="Q618" s="4" t="s">
        <v>1738</v>
      </c>
      <c r="T618" s="4" t="s">
        <v>104</v>
      </c>
    </row>
    <row r="619" ht="15.75" customHeight="1">
      <c r="A619" s="4" t="s">
        <v>1741</v>
      </c>
      <c r="B619" s="4" t="s">
        <v>1742</v>
      </c>
      <c r="C619" s="4" t="str">
        <f>IFERROR(__xludf.DUMMYFUNCTION("GOOGLETRANSLATE(B619, ""RO"", ""EN"")"),"Education, art, music or cultural activities")</f>
        <v>Education, art, music or cultural activities</v>
      </c>
      <c r="D619" s="5" t="str">
        <f>IFERROR(__xludf.DUMMYFUNCTION("IF(O619&lt;&gt;"""", GOOGLETRANSLATE(O619, ""RO"", ""EN""), """")"),"")</f>
        <v/>
      </c>
      <c r="E619" s="6" t="str">
        <f>IFERROR(__xludf.DUMMYFUNCTION("IF(P619&lt;&gt;"""", GOOGLETRANSLATE(P619, ""RO"", ""EN""), """")"),"mention")</f>
        <v>mention</v>
      </c>
      <c r="F619" s="5" t="str">
        <f>IFERROR(__xludf.DUMMYFUNCTION("IF(Q619&lt;&gt;"""", GOOGLETRANSLATE(Q619, ""RO"", ""EN""), """")"),"Does not mention")</f>
        <v>Does not mention</v>
      </c>
      <c r="G619" s="5" t="str">
        <f>IFERROR(__xludf.DUMMYFUNCTION("IF(R619&lt;&gt;"""", GOOGLETRANSLATE(R619, ""RO"", ""EN""), """")"),"")</f>
        <v/>
      </c>
      <c r="H619" s="5" t="str">
        <f>IFERROR(__xludf.DUMMYFUNCTION("IF(U619&lt;&gt;"""", GOOGLETRANSLATE(U619, ""RO"", ""EN""), """")"),"")</f>
        <v/>
      </c>
      <c r="I619" s="5" t="str">
        <f>IFERROR(__xludf.DUMMYFUNCTION("IF(V619&lt;&gt;"""", GOOGLETRANSLATE(V619, ""RO"", ""EN""), """")"),"")</f>
        <v/>
      </c>
      <c r="J619" s="5" t="str">
        <f>IFERROR(__xludf.DUMMYFUNCTION("IF(W619&lt;&gt;"""", GOOGLETRANSLATE(W619, ""RO"", ""EN""), """")"),"")</f>
        <v/>
      </c>
      <c r="K619" s="5" t="str">
        <f>IFERROR(__xludf.DUMMYFUNCTION("IF(X619&lt;&gt;"""", GOOGLETRANSLATE(X619, ""RO"", ""EN""), """")"),"")</f>
        <v/>
      </c>
      <c r="L619" s="5" t="str">
        <f>IFERROR(__xludf.DUMMYFUNCTION("IF(S619&lt;&gt;"""", GOOGLETRANSLATE(S619, ""RO"", ""EN""), """")"),"")</f>
        <v/>
      </c>
      <c r="M619" s="5" t="str">
        <f>IFERROR(__xludf.DUMMYFUNCTION("IF(T619&lt;&gt;"""", GOOGLETRANSLATE(T619, ""RO"", ""EN""), """")"),"No.")</f>
        <v>No.</v>
      </c>
      <c r="N619" s="5" t="str">
        <f>IFERROR(__xludf.DUMMYFUNCTION("IF(Y619&lt;&gt;"""", GOOGLETRANSLATE(Y619, ""RO"", ""EN""), """")"),"")</f>
        <v/>
      </c>
      <c r="P619" s="4" t="s">
        <v>1737</v>
      </c>
      <c r="Q619" s="4" t="s">
        <v>1738</v>
      </c>
      <c r="T619" s="4" t="s">
        <v>104</v>
      </c>
    </row>
    <row r="620" ht="15.75" customHeight="1">
      <c r="A620" s="4" t="s">
        <v>1743</v>
      </c>
      <c r="B620" s="4" t="s">
        <v>1744</v>
      </c>
      <c r="C620" s="4" t="str">
        <f>IFERROR(__xludf.DUMMYFUNCTION("GOOGLETRANSLATE(B620, ""RO"", ""EN"")"),"Political groups or parties")</f>
        <v>Political groups or parties</v>
      </c>
      <c r="D620" s="5" t="str">
        <f>IFERROR(__xludf.DUMMYFUNCTION("IF(O620&lt;&gt;"""", GOOGLETRANSLATE(O620, ""RO"", ""EN""), """")"),"")</f>
        <v/>
      </c>
      <c r="E620" s="6" t="str">
        <f>IFERROR(__xludf.DUMMYFUNCTION("IF(P620&lt;&gt;"""", GOOGLETRANSLATE(P620, ""RO"", ""EN""), """")"),"mention")</f>
        <v>mention</v>
      </c>
      <c r="F620" s="5" t="str">
        <f>IFERROR(__xludf.DUMMYFUNCTION("IF(Q620&lt;&gt;"""", GOOGLETRANSLATE(Q620, ""RO"", ""EN""), """")"),"Does not mention")</f>
        <v>Does not mention</v>
      </c>
      <c r="G620" s="5" t="str">
        <f>IFERROR(__xludf.DUMMYFUNCTION("IF(R620&lt;&gt;"""", GOOGLETRANSLATE(R620, ""RO"", ""EN""), """")"),"")</f>
        <v/>
      </c>
      <c r="H620" s="5" t="str">
        <f>IFERROR(__xludf.DUMMYFUNCTION("IF(U620&lt;&gt;"""", GOOGLETRANSLATE(U620, ""RO"", ""EN""), """")"),"")</f>
        <v/>
      </c>
      <c r="I620" s="5" t="str">
        <f>IFERROR(__xludf.DUMMYFUNCTION("IF(V620&lt;&gt;"""", GOOGLETRANSLATE(V620, ""RO"", ""EN""), """")"),"")</f>
        <v/>
      </c>
      <c r="J620" s="5" t="str">
        <f>IFERROR(__xludf.DUMMYFUNCTION("IF(W620&lt;&gt;"""", GOOGLETRANSLATE(W620, ""RO"", ""EN""), """")"),"")</f>
        <v/>
      </c>
      <c r="K620" s="5" t="str">
        <f>IFERROR(__xludf.DUMMYFUNCTION("IF(X620&lt;&gt;"""", GOOGLETRANSLATE(X620, ""RO"", ""EN""), """")"),"")</f>
        <v/>
      </c>
      <c r="L620" s="5" t="str">
        <f>IFERROR(__xludf.DUMMYFUNCTION("IF(S620&lt;&gt;"""", GOOGLETRANSLATE(S620, ""RO"", ""EN""), """")"),"")</f>
        <v/>
      </c>
      <c r="M620" s="5" t="str">
        <f>IFERROR(__xludf.DUMMYFUNCTION("IF(T620&lt;&gt;"""", GOOGLETRANSLATE(T620, ""RO"", ""EN""), """")"),"No.")</f>
        <v>No.</v>
      </c>
      <c r="N620" s="5" t="str">
        <f>IFERROR(__xludf.DUMMYFUNCTION("IF(Y620&lt;&gt;"""", GOOGLETRANSLATE(Y620, ""RO"", ""EN""), """")"),"")</f>
        <v/>
      </c>
      <c r="P620" s="4" t="s">
        <v>1737</v>
      </c>
      <c r="Q620" s="4" t="s">
        <v>1738</v>
      </c>
      <c r="T620" s="4" t="s">
        <v>104</v>
      </c>
    </row>
    <row r="621" ht="15.75" customHeight="1">
      <c r="A621" s="4" t="s">
        <v>1745</v>
      </c>
      <c r="B621" s="4" t="s">
        <v>1746</v>
      </c>
      <c r="C621" s="4" t="str">
        <f>IFERROR(__xludf.DUMMYFUNCTION("GOOGLETRANSLATE(B621, ""RO"", ""EN"")"),"Community actions regarding: poverty, unemployment, living, ethnic inequality")</f>
        <v>Community actions regarding: poverty, unemployment, living, ethnic inequality</v>
      </c>
      <c r="D621" s="5" t="str">
        <f>IFERROR(__xludf.DUMMYFUNCTION("IF(O621&lt;&gt;"""", GOOGLETRANSLATE(O621, ""RO"", ""EN""), """")"),"")</f>
        <v/>
      </c>
      <c r="E621" s="6" t="str">
        <f>IFERROR(__xludf.DUMMYFUNCTION("IF(P621&lt;&gt;"""", GOOGLETRANSLATE(P621, ""RO"", ""EN""), """")"),"mention")</f>
        <v>mention</v>
      </c>
      <c r="F621" s="5" t="str">
        <f>IFERROR(__xludf.DUMMYFUNCTION("IF(Q621&lt;&gt;"""", GOOGLETRANSLATE(Q621, ""RO"", ""EN""), """")"),"Does not mention")</f>
        <v>Does not mention</v>
      </c>
      <c r="G621" s="5" t="str">
        <f>IFERROR(__xludf.DUMMYFUNCTION("IF(R621&lt;&gt;"""", GOOGLETRANSLATE(R621, ""RO"", ""EN""), """")"),"")</f>
        <v/>
      </c>
      <c r="H621" s="5" t="str">
        <f>IFERROR(__xludf.DUMMYFUNCTION("IF(U621&lt;&gt;"""", GOOGLETRANSLATE(U621, ""RO"", ""EN""), """")"),"")</f>
        <v/>
      </c>
      <c r="I621" s="5" t="str">
        <f>IFERROR(__xludf.DUMMYFUNCTION("IF(V621&lt;&gt;"""", GOOGLETRANSLATE(V621, ""RO"", ""EN""), """")"),"")</f>
        <v/>
      </c>
      <c r="J621" s="5" t="str">
        <f>IFERROR(__xludf.DUMMYFUNCTION("IF(W621&lt;&gt;"""", GOOGLETRANSLATE(W621, ""RO"", ""EN""), """")"),"")</f>
        <v/>
      </c>
      <c r="K621" s="5" t="str">
        <f>IFERROR(__xludf.DUMMYFUNCTION("IF(X621&lt;&gt;"""", GOOGLETRANSLATE(X621, ""RO"", ""EN""), """")"),"")</f>
        <v/>
      </c>
      <c r="L621" s="5" t="str">
        <f>IFERROR(__xludf.DUMMYFUNCTION("IF(S621&lt;&gt;"""", GOOGLETRANSLATE(S621, ""RO"", ""EN""), """")"),"")</f>
        <v/>
      </c>
      <c r="M621" s="5" t="str">
        <f>IFERROR(__xludf.DUMMYFUNCTION("IF(T621&lt;&gt;"""", GOOGLETRANSLATE(T621, ""RO"", ""EN""), """")"),"No.")</f>
        <v>No.</v>
      </c>
      <c r="N621" s="5" t="str">
        <f>IFERROR(__xludf.DUMMYFUNCTION("IF(Y621&lt;&gt;"""", GOOGLETRANSLATE(Y621, ""RO"", ""EN""), """")"),"")</f>
        <v/>
      </c>
      <c r="P621" s="4" t="s">
        <v>1737</v>
      </c>
      <c r="Q621" s="4" t="s">
        <v>1738</v>
      </c>
      <c r="T621" s="4" t="s">
        <v>104</v>
      </c>
    </row>
    <row r="622" ht="15.75" customHeight="1">
      <c r="A622" s="4" t="s">
        <v>1747</v>
      </c>
      <c r="B622" s="4" t="s">
        <v>1748</v>
      </c>
      <c r="C622" s="4" t="str">
        <f>IFERROR(__xludf.DUMMYFUNCTION("GOOGLETRANSLATE(B622, ""RO"", ""EN"")"),"The development of the third world or human rights")</f>
        <v>The development of the third world or human rights</v>
      </c>
      <c r="D622" s="5" t="str">
        <f>IFERROR(__xludf.DUMMYFUNCTION("IF(O622&lt;&gt;"""", GOOGLETRANSLATE(O622, ""RO"", ""EN""), """")"),"")</f>
        <v/>
      </c>
      <c r="E622" s="6" t="str">
        <f>IFERROR(__xludf.DUMMYFUNCTION("IF(P622&lt;&gt;"""", GOOGLETRANSLATE(P622, ""RO"", ""EN""), """")"),"mention")</f>
        <v>mention</v>
      </c>
      <c r="F622" s="5" t="str">
        <f>IFERROR(__xludf.DUMMYFUNCTION("IF(Q622&lt;&gt;"""", GOOGLETRANSLATE(Q622, ""RO"", ""EN""), """")"),"Does not mention")</f>
        <v>Does not mention</v>
      </c>
      <c r="G622" s="5" t="str">
        <f>IFERROR(__xludf.DUMMYFUNCTION("IF(R622&lt;&gt;"""", GOOGLETRANSLATE(R622, ""RO"", ""EN""), """")"),"")</f>
        <v/>
      </c>
      <c r="H622" s="5" t="str">
        <f>IFERROR(__xludf.DUMMYFUNCTION("IF(U622&lt;&gt;"""", GOOGLETRANSLATE(U622, ""RO"", ""EN""), """")"),"")</f>
        <v/>
      </c>
      <c r="I622" s="5" t="str">
        <f>IFERROR(__xludf.DUMMYFUNCTION("IF(V622&lt;&gt;"""", GOOGLETRANSLATE(V622, ""RO"", ""EN""), """")"),"")</f>
        <v/>
      </c>
      <c r="J622" s="5" t="str">
        <f>IFERROR(__xludf.DUMMYFUNCTION("IF(W622&lt;&gt;"""", GOOGLETRANSLATE(W622, ""RO"", ""EN""), """")"),"")</f>
        <v/>
      </c>
      <c r="K622" s="5" t="str">
        <f>IFERROR(__xludf.DUMMYFUNCTION("IF(X622&lt;&gt;"""", GOOGLETRANSLATE(X622, ""RO"", ""EN""), """")"),"")</f>
        <v/>
      </c>
      <c r="L622" s="5" t="str">
        <f>IFERROR(__xludf.DUMMYFUNCTION("IF(S622&lt;&gt;"""", GOOGLETRANSLATE(S622, ""RO"", ""EN""), """")"),"")</f>
        <v/>
      </c>
      <c r="M622" s="5" t="str">
        <f>IFERROR(__xludf.DUMMYFUNCTION("IF(T622&lt;&gt;"""", GOOGLETRANSLATE(T622, ""RO"", ""EN""), """")"),"No.")</f>
        <v>No.</v>
      </c>
      <c r="N622" s="5" t="str">
        <f>IFERROR(__xludf.DUMMYFUNCTION("IF(Y622&lt;&gt;"""", GOOGLETRANSLATE(Y622, ""RO"", ""EN""), """")"),"")</f>
        <v/>
      </c>
      <c r="P622" s="4" t="s">
        <v>1737</v>
      </c>
      <c r="Q622" s="4" t="s">
        <v>1738</v>
      </c>
      <c r="T622" s="4" t="s">
        <v>104</v>
      </c>
    </row>
    <row r="623" ht="15.75" customHeight="1">
      <c r="A623" s="4" t="s">
        <v>1749</v>
      </c>
      <c r="B623" s="4" t="s">
        <v>1750</v>
      </c>
      <c r="C623" s="4" t="str">
        <f>IFERROR(__xludf.DUMMYFUNCTION("GOOGLETRANSLATE(B623, ""RO"", ""EN"")"),"The environment, ecology, animal rights")</f>
        <v>The environment, ecology, animal rights</v>
      </c>
      <c r="D623" s="5" t="str">
        <f>IFERROR(__xludf.DUMMYFUNCTION("IF(O623&lt;&gt;"""", GOOGLETRANSLATE(O623, ""RO"", ""EN""), """")"),"")</f>
        <v/>
      </c>
      <c r="E623" s="6" t="str">
        <f>IFERROR(__xludf.DUMMYFUNCTION("IF(P623&lt;&gt;"""", GOOGLETRANSLATE(P623, ""RO"", ""EN""), """")"),"mention")</f>
        <v>mention</v>
      </c>
      <c r="F623" s="5" t="str">
        <f>IFERROR(__xludf.DUMMYFUNCTION("IF(Q623&lt;&gt;"""", GOOGLETRANSLATE(Q623, ""RO"", ""EN""), """")"),"Does not mention")</f>
        <v>Does not mention</v>
      </c>
      <c r="G623" s="5" t="str">
        <f>IFERROR(__xludf.DUMMYFUNCTION("IF(R623&lt;&gt;"""", GOOGLETRANSLATE(R623, ""RO"", ""EN""), """")"),"")</f>
        <v/>
      </c>
      <c r="H623" s="5" t="str">
        <f>IFERROR(__xludf.DUMMYFUNCTION("IF(U623&lt;&gt;"""", GOOGLETRANSLATE(U623, ""RO"", ""EN""), """")"),"")</f>
        <v/>
      </c>
      <c r="I623" s="5" t="str">
        <f>IFERROR(__xludf.DUMMYFUNCTION("IF(V623&lt;&gt;"""", GOOGLETRANSLATE(V623, ""RO"", ""EN""), """")"),"")</f>
        <v/>
      </c>
      <c r="J623" s="5" t="str">
        <f>IFERROR(__xludf.DUMMYFUNCTION("IF(W623&lt;&gt;"""", GOOGLETRANSLATE(W623, ""RO"", ""EN""), """")"),"")</f>
        <v/>
      </c>
      <c r="K623" s="5" t="str">
        <f>IFERROR(__xludf.DUMMYFUNCTION("IF(X623&lt;&gt;"""", GOOGLETRANSLATE(X623, ""RO"", ""EN""), """")"),"")</f>
        <v/>
      </c>
      <c r="L623" s="5" t="str">
        <f>IFERROR(__xludf.DUMMYFUNCTION("IF(S623&lt;&gt;"""", GOOGLETRANSLATE(S623, ""RO"", ""EN""), """")"),"")</f>
        <v/>
      </c>
      <c r="M623" s="5" t="str">
        <f>IFERROR(__xludf.DUMMYFUNCTION("IF(T623&lt;&gt;"""", GOOGLETRANSLATE(T623, ""RO"", ""EN""), """")"),"No.")</f>
        <v>No.</v>
      </c>
      <c r="N623" s="5" t="str">
        <f>IFERROR(__xludf.DUMMYFUNCTION("IF(Y623&lt;&gt;"""", GOOGLETRANSLATE(Y623, ""RO"", ""EN""), """")"),"")</f>
        <v/>
      </c>
      <c r="P623" s="4" t="s">
        <v>1737</v>
      </c>
      <c r="Q623" s="4" t="s">
        <v>1738</v>
      </c>
      <c r="T623" s="4" t="s">
        <v>104</v>
      </c>
    </row>
    <row r="624" ht="15.75" customHeight="1">
      <c r="A624" s="4" t="s">
        <v>1751</v>
      </c>
      <c r="B624" s="4" t="s">
        <v>1752</v>
      </c>
      <c r="C624" s="4" t="str">
        <f>IFERROR(__xludf.DUMMYFUNCTION("GOOGLETRANSLATE(B624, ""RO"", ""EN"")"),"Scouts, guide teams, young clubs, etc.")</f>
        <v>Scouts, guide teams, young clubs, etc.</v>
      </c>
      <c r="D624" s="5" t="str">
        <f>IFERROR(__xludf.DUMMYFUNCTION("IF(O624&lt;&gt;"""", GOOGLETRANSLATE(O624, ""RO"", ""EN""), """")"),"")</f>
        <v/>
      </c>
      <c r="E624" s="6" t="str">
        <f>IFERROR(__xludf.DUMMYFUNCTION("IF(P624&lt;&gt;"""", GOOGLETRANSLATE(P624, ""RO"", ""EN""), """")"),"mention")</f>
        <v>mention</v>
      </c>
      <c r="F624" s="5" t="str">
        <f>IFERROR(__xludf.DUMMYFUNCTION("IF(Q624&lt;&gt;"""", GOOGLETRANSLATE(Q624, ""RO"", ""EN""), """")"),"Does not mention")</f>
        <v>Does not mention</v>
      </c>
      <c r="G624" s="5" t="str">
        <f>IFERROR(__xludf.DUMMYFUNCTION("IF(R624&lt;&gt;"""", GOOGLETRANSLATE(R624, ""RO"", ""EN""), """")"),"")</f>
        <v/>
      </c>
      <c r="H624" s="5" t="str">
        <f>IFERROR(__xludf.DUMMYFUNCTION("IF(U624&lt;&gt;"""", GOOGLETRANSLATE(U624, ""RO"", ""EN""), """")"),"")</f>
        <v/>
      </c>
      <c r="I624" s="5" t="str">
        <f>IFERROR(__xludf.DUMMYFUNCTION("IF(V624&lt;&gt;"""", GOOGLETRANSLATE(V624, ""RO"", ""EN""), """")"),"")</f>
        <v/>
      </c>
      <c r="J624" s="5" t="str">
        <f>IFERROR(__xludf.DUMMYFUNCTION("IF(W624&lt;&gt;"""", GOOGLETRANSLATE(W624, ""RO"", ""EN""), """")"),"")</f>
        <v/>
      </c>
      <c r="K624" s="5" t="str">
        <f>IFERROR(__xludf.DUMMYFUNCTION("IF(X624&lt;&gt;"""", GOOGLETRANSLATE(X624, ""RO"", ""EN""), """")"),"")</f>
        <v/>
      </c>
      <c r="L624" s="5" t="str">
        <f>IFERROR(__xludf.DUMMYFUNCTION("IF(S624&lt;&gt;"""", GOOGLETRANSLATE(S624, ""RO"", ""EN""), """")"),"")</f>
        <v/>
      </c>
      <c r="M624" s="5" t="str">
        <f>IFERROR(__xludf.DUMMYFUNCTION("IF(T624&lt;&gt;"""", GOOGLETRANSLATE(T624, ""RO"", ""EN""), """")"),"No.")</f>
        <v>No.</v>
      </c>
      <c r="N624" s="5" t="str">
        <f>IFERROR(__xludf.DUMMYFUNCTION("IF(Y624&lt;&gt;"""", GOOGLETRANSLATE(Y624, ""RO"", ""EN""), """")"),"")</f>
        <v/>
      </c>
      <c r="P624" s="4" t="s">
        <v>1737</v>
      </c>
      <c r="Q624" s="4" t="s">
        <v>1738</v>
      </c>
      <c r="T624" s="4" t="s">
        <v>104</v>
      </c>
    </row>
    <row r="625" ht="15.75" customHeight="1">
      <c r="A625" s="4" t="s">
        <v>1753</v>
      </c>
      <c r="B625" s="4" t="s">
        <v>1754</v>
      </c>
      <c r="C625" s="4" t="str">
        <f>IFERROR(__xludf.DUMMYFUNCTION("GOOGLETRANSLATE(B625, ""RO"", ""EN"")"),"Sports or recreation")</f>
        <v>Sports or recreation</v>
      </c>
      <c r="D625" s="5" t="str">
        <f>IFERROR(__xludf.DUMMYFUNCTION("IF(O625&lt;&gt;"""", GOOGLETRANSLATE(O625, ""RO"", ""EN""), """")"),"")</f>
        <v/>
      </c>
      <c r="E625" s="6" t="str">
        <f>IFERROR(__xludf.DUMMYFUNCTION("IF(P625&lt;&gt;"""", GOOGLETRANSLATE(P625, ""RO"", ""EN""), """")"),"mention")</f>
        <v>mention</v>
      </c>
      <c r="F625" s="5" t="str">
        <f>IFERROR(__xludf.DUMMYFUNCTION("IF(Q625&lt;&gt;"""", GOOGLETRANSLATE(Q625, ""RO"", ""EN""), """")"),"Does not mention")</f>
        <v>Does not mention</v>
      </c>
      <c r="G625" s="5" t="str">
        <f>IFERROR(__xludf.DUMMYFUNCTION("IF(R625&lt;&gt;"""", GOOGLETRANSLATE(R625, ""RO"", ""EN""), """")"),"")</f>
        <v/>
      </c>
      <c r="H625" s="5" t="str">
        <f>IFERROR(__xludf.DUMMYFUNCTION("IF(U625&lt;&gt;"""", GOOGLETRANSLATE(U625, ""RO"", ""EN""), """")"),"")</f>
        <v/>
      </c>
      <c r="I625" s="5" t="str">
        <f>IFERROR(__xludf.DUMMYFUNCTION("IF(V625&lt;&gt;"""", GOOGLETRANSLATE(V625, ""RO"", ""EN""), """")"),"")</f>
        <v/>
      </c>
      <c r="J625" s="5" t="str">
        <f>IFERROR(__xludf.DUMMYFUNCTION("IF(W625&lt;&gt;"""", GOOGLETRANSLATE(W625, ""RO"", ""EN""), """")"),"")</f>
        <v/>
      </c>
      <c r="K625" s="5" t="str">
        <f>IFERROR(__xludf.DUMMYFUNCTION("IF(X625&lt;&gt;"""", GOOGLETRANSLATE(X625, ""RO"", ""EN""), """")"),"")</f>
        <v/>
      </c>
      <c r="L625" s="5" t="str">
        <f>IFERROR(__xludf.DUMMYFUNCTION("IF(S625&lt;&gt;"""", GOOGLETRANSLATE(S625, ""RO"", ""EN""), """")"),"")</f>
        <v/>
      </c>
      <c r="M625" s="5" t="str">
        <f>IFERROR(__xludf.DUMMYFUNCTION("IF(T625&lt;&gt;"""", GOOGLETRANSLATE(T625, ""RO"", ""EN""), """")"),"No.")</f>
        <v>No.</v>
      </c>
      <c r="N625" s="5" t="str">
        <f>IFERROR(__xludf.DUMMYFUNCTION("IF(Y625&lt;&gt;"""", GOOGLETRANSLATE(Y625, ""RO"", ""EN""), """")"),"")</f>
        <v/>
      </c>
      <c r="P625" s="4" t="s">
        <v>1737</v>
      </c>
      <c r="Q625" s="4" t="s">
        <v>1738</v>
      </c>
      <c r="T625" s="4" t="s">
        <v>104</v>
      </c>
    </row>
    <row r="626" ht="15.75" customHeight="1">
      <c r="A626" s="4" t="s">
        <v>1755</v>
      </c>
      <c r="B626" s="4" t="s">
        <v>1756</v>
      </c>
      <c r="C626" s="4" t="str">
        <f>IFERROR(__xludf.DUMMYFUNCTION("GOOGLETRANSLATE(B626, ""RO"", ""EN"")"),"Women's associations")</f>
        <v>Women's associations</v>
      </c>
      <c r="D626" s="5" t="str">
        <f>IFERROR(__xludf.DUMMYFUNCTION("IF(O626&lt;&gt;"""", GOOGLETRANSLATE(O626, ""RO"", ""EN""), """")"),"")</f>
        <v/>
      </c>
      <c r="E626" s="6" t="str">
        <f>IFERROR(__xludf.DUMMYFUNCTION("IF(P626&lt;&gt;"""", GOOGLETRANSLATE(P626, ""RO"", ""EN""), """")"),"mention")</f>
        <v>mention</v>
      </c>
      <c r="F626" s="5" t="str">
        <f>IFERROR(__xludf.DUMMYFUNCTION("IF(Q626&lt;&gt;"""", GOOGLETRANSLATE(Q626, ""RO"", ""EN""), """")"),"Does not mention")</f>
        <v>Does not mention</v>
      </c>
      <c r="G626" s="5" t="str">
        <f>IFERROR(__xludf.DUMMYFUNCTION("IF(R626&lt;&gt;"""", GOOGLETRANSLATE(R626, ""RO"", ""EN""), """")"),"")</f>
        <v/>
      </c>
      <c r="H626" s="5" t="str">
        <f>IFERROR(__xludf.DUMMYFUNCTION("IF(U626&lt;&gt;"""", GOOGLETRANSLATE(U626, ""RO"", ""EN""), """")"),"")</f>
        <v/>
      </c>
      <c r="I626" s="5" t="str">
        <f>IFERROR(__xludf.DUMMYFUNCTION("IF(V626&lt;&gt;"""", GOOGLETRANSLATE(V626, ""RO"", ""EN""), """")"),"")</f>
        <v/>
      </c>
      <c r="J626" s="5" t="str">
        <f>IFERROR(__xludf.DUMMYFUNCTION("IF(W626&lt;&gt;"""", GOOGLETRANSLATE(W626, ""RO"", ""EN""), """")"),"")</f>
        <v/>
      </c>
      <c r="K626" s="5" t="str">
        <f>IFERROR(__xludf.DUMMYFUNCTION("IF(X626&lt;&gt;"""", GOOGLETRANSLATE(X626, ""RO"", ""EN""), """")"),"")</f>
        <v/>
      </c>
      <c r="L626" s="5" t="str">
        <f>IFERROR(__xludf.DUMMYFUNCTION("IF(S626&lt;&gt;"""", GOOGLETRANSLATE(S626, ""RO"", ""EN""), """")"),"")</f>
        <v/>
      </c>
      <c r="M626" s="5" t="str">
        <f>IFERROR(__xludf.DUMMYFUNCTION("IF(T626&lt;&gt;"""", GOOGLETRANSLATE(T626, ""RO"", ""EN""), """")"),"No.")</f>
        <v>No.</v>
      </c>
      <c r="N626" s="5" t="str">
        <f>IFERROR(__xludf.DUMMYFUNCTION("IF(Y626&lt;&gt;"""", GOOGLETRANSLATE(Y626, ""RO"", ""EN""), """")"),"")</f>
        <v/>
      </c>
      <c r="P626" s="4" t="s">
        <v>1737</v>
      </c>
      <c r="Q626" s="4" t="s">
        <v>1738</v>
      </c>
      <c r="T626" s="4" t="s">
        <v>104</v>
      </c>
    </row>
    <row r="627" ht="15.75" customHeight="1">
      <c r="A627" s="4" t="s">
        <v>1757</v>
      </c>
      <c r="B627" s="4" t="s">
        <v>1758</v>
      </c>
      <c r="C627" s="4" t="str">
        <f>IFERROR(__xludf.DUMMYFUNCTION("GOOGLETRANSLATE(B627, ""RO"", ""EN"")"),"Pacifist movements")</f>
        <v>Pacifist movements</v>
      </c>
      <c r="D627" s="5" t="str">
        <f>IFERROR(__xludf.DUMMYFUNCTION("IF(O627&lt;&gt;"""", GOOGLETRANSLATE(O627, ""RO"", ""EN""), """")"),"")</f>
        <v/>
      </c>
      <c r="E627" s="6" t="str">
        <f>IFERROR(__xludf.DUMMYFUNCTION("IF(P627&lt;&gt;"""", GOOGLETRANSLATE(P627, ""RO"", ""EN""), """")"),"mention")</f>
        <v>mention</v>
      </c>
      <c r="F627" s="5" t="str">
        <f>IFERROR(__xludf.DUMMYFUNCTION("IF(Q627&lt;&gt;"""", GOOGLETRANSLATE(Q627, ""RO"", ""EN""), """")"),"Does not mention")</f>
        <v>Does not mention</v>
      </c>
      <c r="G627" s="5" t="str">
        <f>IFERROR(__xludf.DUMMYFUNCTION("IF(R627&lt;&gt;"""", GOOGLETRANSLATE(R627, ""RO"", ""EN""), """")"),"")</f>
        <v/>
      </c>
      <c r="H627" s="5" t="str">
        <f>IFERROR(__xludf.DUMMYFUNCTION("IF(U627&lt;&gt;"""", GOOGLETRANSLATE(U627, ""RO"", ""EN""), """")"),"")</f>
        <v/>
      </c>
      <c r="I627" s="5" t="str">
        <f>IFERROR(__xludf.DUMMYFUNCTION("IF(V627&lt;&gt;"""", GOOGLETRANSLATE(V627, ""RO"", ""EN""), """")"),"")</f>
        <v/>
      </c>
      <c r="J627" s="5" t="str">
        <f>IFERROR(__xludf.DUMMYFUNCTION("IF(W627&lt;&gt;"""", GOOGLETRANSLATE(W627, ""RO"", ""EN""), """")"),"")</f>
        <v/>
      </c>
      <c r="K627" s="5" t="str">
        <f>IFERROR(__xludf.DUMMYFUNCTION("IF(X627&lt;&gt;"""", GOOGLETRANSLATE(X627, ""RO"", ""EN""), """")"),"")</f>
        <v/>
      </c>
      <c r="L627" s="5" t="str">
        <f>IFERROR(__xludf.DUMMYFUNCTION("IF(S627&lt;&gt;"""", GOOGLETRANSLATE(S627, ""RO"", ""EN""), """")"),"")</f>
        <v/>
      </c>
      <c r="M627" s="5" t="str">
        <f>IFERROR(__xludf.DUMMYFUNCTION("IF(T627&lt;&gt;"""", GOOGLETRANSLATE(T627, ""RO"", ""EN""), """")"),"No.")</f>
        <v>No.</v>
      </c>
      <c r="N627" s="5" t="str">
        <f>IFERROR(__xludf.DUMMYFUNCTION("IF(Y627&lt;&gt;"""", GOOGLETRANSLATE(Y627, ""RO"", ""EN""), """")"),"")</f>
        <v/>
      </c>
      <c r="P627" s="4" t="s">
        <v>1737</v>
      </c>
      <c r="Q627" s="4" t="s">
        <v>1738</v>
      </c>
      <c r="T627" s="4" t="s">
        <v>104</v>
      </c>
    </row>
    <row r="628" ht="15.75" customHeight="1">
      <c r="A628" s="4" t="s">
        <v>1759</v>
      </c>
      <c r="B628" s="4" t="s">
        <v>1760</v>
      </c>
      <c r="C628" s="4" t="str">
        <f>IFERROR(__xludf.DUMMYFUNCTION("GOOGLETRANSLATE(B628, ""RO"", ""EN"")"),"Voluntary organizations dealing with health")</f>
        <v>Voluntary organizations dealing with health</v>
      </c>
      <c r="D628" s="5" t="str">
        <f>IFERROR(__xludf.DUMMYFUNCTION("IF(O628&lt;&gt;"""", GOOGLETRANSLATE(O628, ""RO"", ""EN""), """")"),"")</f>
        <v/>
      </c>
      <c r="E628" s="6" t="str">
        <f>IFERROR(__xludf.DUMMYFUNCTION("IF(P628&lt;&gt;"""", GOOGLETRANSLATE(P628, ""RO"", ""EN""), """")"),"mention")</f>
        <v>mention</v>
      </c>
      <c r="F628" s="5" t="str">
        <f>IFERROR(__xludf.DUMMYFUNCTION("IF(Q628&lt;&gt;"""", GOOGLETRANSLATE(Q628, ""RO"", ""EN""), """")"),"Does not mention")</f>
        <v>Does not mention</v>
      </c>
      <c r="G628" s="5" t="str">
        <f>IFERROR(__xludf.DUMMYFUNCTION("IF(R628&lt;&gt;"""", GOOGLETRANSLATE(R628, ""RO"", ""EN""), """")"),"")</f>
        <v/>
      </c>
      <c r="H628" s="5" t="str">
        <f>IFERROR(__xludf.DUMMYFUNCTION("IF(U628&lt;&gt;"""", GOOGLETRANSLATE(U628, ""RO"", ""EN""), """")"),"")</f>
        <v/>
      </c>
      <c r="I628" s="5" t="str">
        <f>IFERROR(__xludf.DUMMYFUNCTION("IF(V628&lt;&gt;"""", GOOGLETRANSLATE(V628, ""RO"", ""EN""), """")"),"")</f>
        <v/>
      </c>
      <c r="J628" s="5" t="str">
        <f>IFERROR(__xludf.DUMMYFUNCTION("IF(W628&lt;&gt;"""", GOOGLETRANSLATE(W628, ""RO"", ""EN""), """")"),"")</f>
        <v/>
      </c>
      <c r="K628" s="5" t="str">
        <f>IFERROR(__xludf.DUMMYFUNCTION("IF(X628&lt;&gt;"""", GOOGLETRANSLATE(X628, ""RO"", ""EN""), """")"),"")</f>
        <v/>
      </c>
      <c r="L628" s="5" t="str">
        <f>IFERROR(__xludf.DUMMYFUNCTION("IF(S628&lt;&gt;"""", GOOGLETRANSLATE(S628, ""RO"", ""EN""), """")"),"")</f>
        <v/>
      </c>
      <c r="M628" s="5" t="str">
        <f>IFERROR(__xludf.DUMMYFUNCTION("IF(T628&lt;&gt;"""", GOOGLETRANSLATE(T628, ""RO"", ""EN""), """")"),"No.")</f>
        <v>No.</v>
      </c>
      <c r="N628" s="5" t="str">
        <f>IFERROR(__xludf.DUMMYFUNCTION("IF(Y628&lt;&gt;"""", GOOGLETRANSLATE(Y628, ""RO"", ""EN""), """")"),"")</f>
        <v/>
      </c>
      <c r="P628" s="4" t="s">
        <v>1737</v>
      </c>
      <c r="Q628" s="4" t="s">
        <v>1738</v>
      </c>
      <c r="T628" s="4" t="s">
        <v>104</v>
      </c>
    </row>
    <row r="629" ht="15.75" customHeight="1">
      <c r="A629" s="4" t="s">
        <v>1761</v>
      </c>
      <c r="B629" s="4" t="s">
        <v>1762</v>
      </c>
      <c r="C629" s="4" t="str">
        <f>IFERROR(__xludf.DUMMYFUNCTION("GOOGLETRANSLATE(B629, ""RO"", ""EN"")"),"Other groups")</f>
        <v>Other groups</v>
      </c>
      <c r="D629" s="5" t="str">
        <f>IFERROR(__xludf.DUMMYFUNCTION("IF(O629&lt;&gt;"""", GOOGLETRANSLATE(O629, ""RO"", ""EN""), """")"),"")</f>
        <v/>
      </c>
      <c r="E629" s="6" t="str">
        <f>IFERROR(__xludf.DUMMYFUNCTION("IF(P629&lt;&gt;"""", GOOGLETRANSLATE(P629, ""RO"", ""EN""), """")"),"mention")</f>
        <v>mention</v>
      </c>
      <c r="F629" s="5" t="str">
        <f>IFERROR(__xludf.DUMMYFUNCTION("IF(Q629&lt;&gt;"""", GOOGLETRANSLATE(Q629, ""RO"", ""EN""), """")"),"Does not mention")</f>
        <v>Does not mention</v>
      </c>
      <c r="G629" s="5" t="str">
        <f>IFERROR(__xludf.DUMMYFUNCTION("IF(R629&lt;&gt;"""", GOOGLETRANSLATE(R629, ""RO"", ""EN""), """")"),"")</f>
        <v/>
      </c>
      <c r="H629" s="5" t="str">
        <f>IFERROR(__xludf.DUMMYFUNCTION("IF(U629&lt;&gt;"""", GOOGLETRANSLATE(U629, ""RO"", ""EN""), """")"),"")</f>
        <v/>
      </c>
      <c r="I629" s="5" t="str">
        <f>IFERROR(__xludf.DUMMYFUNCTION("IF(V629&lt;&gt;"""", GOOGLETRANSLATE(V629, ""RO"", ""EN""), """")"),"")</f>
        <v/>
      </c>
      <c r="J629" s="5" t="str">
        <f>IFERROR(__xludf.DUMMYFUNCTION("IF(W629&lt;&gt;"""", GOOGLETRANSLATE(W629, ""RO"", ""EN""), """")"),"")</f>
        <v/>
      </c>
      <c r="K629" s="5" t="str">
        <f>IFERROR(__xludf.DUMMYFUNCTION("IF(X629&lt;&gt;"""", GOOGLETRANSLATE(X629, ""RO"", ""EN""), """")"),"")</f>
        <v/>
      </c>
      <c r="L629" s="5" t="str">
        <f>IFERROR(__xludf.DUMMYFUNCTION("IF(S629&lt;&gt;"""", GOOGLETRANSLATE(S629, ""RO"", ""EN""), """")"),"")</f>
        <v/>
      </c>
      <c r="M629" s="5" t="str">
        <f>IFERROR(__xludf.DUMMYFUNCTION("IF(T629&lt;&gt;"""", GOOGLETRANSLATE(T629, ""RO"", ""EN""), """")"),"No.")</f>
        <v>No.</v>
      </c>
      <c r="N629" s="5" t="str">
        <f>IFERROR(__xludf.DUMMYFUNCTION("IF(Y629&lt;&gt;"""", GOOGLETRANSLATE(Y629, ""RO"", ""EN""), """")"),"")</f>
        <v/>
      </c>
      <c r="P629" s="4" t="s">
        <v>1737</v>
      </c>
      <c r="Q629" s="4" t="s">
        <v>1738</v>
      </c>
      <c r="T629" s="4" t="s">
        <v>104</v>
      </c>
    </row>
    <row r="630" ht="15.75" customHeight="1">
      <c r="A630" s="4" t="s">
        <v>1763</v>
      </c>
      <c r="B630" s="4" t="s">
        <v>1764</v>
      </c>
      <c r="C630" s="4" t="str">
        <f>IFERROR(__xludf.DUMMYFUNCTION("GOOGLETRANSLATE(B630, ""RO"", ""EN"")"),"Currently, you or someone else in your family is a member of a ...? Union")</f>
        <v>Currently, you or someone else in your family is a member of a ...? Union</v>
      </c>
      <c r="D630" s="5" t="str">
        <f>IFERROR(__xludf.DUMMYFUNCTION("IF(O630&lt;&gt;"""", GOOGLETRANSLATE(O630, ""RO"", ""EN""), """")"),"")</f>
        <v/>
      </c>
      <c r="E630" s="6" t="str">
        <f>IFERROR(__xludf.DUMMYFUNCTION("IF(P630&lt;&gt;"""", GOOGLETRANSLATE(P630, ""RO"", ""EN""), """")"),"respondent")</f>
        <v>respondent</v>
      </c>
      <c r="F630" s="5" t="str">
        <f>IFERROR(__xludf.DUMMYFUNCTION("IF(Q630&lt;&gt;"""", GOOGLETRANSLATE(Q630, ""RO"", ""EN""), """")"),"Someone else in the family")</f>
        <v>Someone else in the family</v>
      </c>
      <c r="G630" s="5" t="str">
        <f>IFERROR(__xludf.DUMMYFUNCTION("IF(R630&lt;&gt;"""", GOOGLETRANSLATE(R630, ""RO"", ""EN""), """")"),"The respondent and someone else")</f>
        <v>The respondent and someone else</v>
      </c>
      <c r="H630" s="5" t="str">
        <f>IFERROR(__xludf.DUMMYFUNCTION("IF(U630&lt;&gt;"""", GOOGLETRANSLATE(U630, ""RO"", ""EN""), """")"),"No one")</f>
        <v>No one</v>
      </c>
      <c r="I630" s="5" t="str">
        <f>IFERROR(__xludf.DUMMYFUNCTION("IF(V630&lt;&gt;"""", GOOGLETRANSLATE(V630, ""RO"", ""EN""), """")"),"")</f>
        <v/>
      </c>
      <c r="J630" s="5" t="str">
        <f>IFERROR(__xludf.DUMMYFUNCTION("IF(W630&lt;&gt;"""", GOOGLETRANSLATE(W630, ""RO"", ""EN""), """")"),"")</f>
        <v/>
      </c>
      <c r="K630" s="5" t="str">
        <f>IFERROR(__xludf.DUMMYFUNCTION("IF(X630&lt;&gt;"""", GOOGLETRANSLATE(X630, ""RO"", ""EN""), """")"),"")</f>
        <v/>
      </c>
      <c r="L630" s="5" t="str">
        <f>IFERROR(__xludf.DUMMYFUNCTION("IF(S630&lt;&gt;"""", GOOGLETRANSLATE(S630, ""RO"", ""EN""), """")"),"Ns")</f>
        <v>Ns</v>
      </c>
      <c r="M630" s="5" t="str">
        <f>IFERROR(__xludf.DUMMYFUNCTION("IF(T630&lt;&gt;"""", GOOGLETRANSLATE(T630, ""RO"", ""EN""), """")"),"No.")</f>
        <v>No.</v>
      </c>
      <c r="N630" s="5" t="str">
        <f>IFERROR(__xludf.DUMMYFUNCTION("IF(Y630&lt;&gt;"""", GOOGLETRANSLATE(Y630, ""RO"", ""EN""), """")"),"")</f>
        <v/>
      </c>
      <c r="P630" s="4" t="s">
        <v>1765</v>
      </c>
      <c r="Q630" s="4" t="s">
        <v>1766</v>
      </c>
      <c r="R630" s="4" t="s">
        <v>1767</v>
      </c>
      <c r="S630" s="4" t="s">
        <v>103</v>
      </c>
      <c r="T630" s="4" t="s">
        <v>104</v>
      </c>
      <c r="U630" s="4" t="s">
        <v>1768</v>
      </c>
    </row>
    <row r="631" ht="15.75" customHeight="1">
      <c r="A631" s="4" t="s">
        <v>1769</v>
      </c>
      <c r="B631" s="4" t="s">
        <v>1770</v>
      </c>
      <c r="C631" s="4" t="str">
        <f>IFERROR(__xludf.DUMMYFUNCTION("GOOGLETRANSLATE(B631, ""RO"", ""EN"")"),"Associations of Business / Patronted People")</f>
        <v>Associations of Business / Patronted People</v>
      </c>
      <c r="D631" s="5" t="str">
        <f>IFERROR(__xludf.DUMMYFUNCTION("IF(O631&lt;&gt;"""", GOOGLETRANSLATE(O631, ""RO"", ""EN""), """")"),"")</f>
        <v/>
      </c>
      <c r="E631" s="6" t="str">
        <f>IFERROR(__xludf.DUMMYFUNCTION("IF(P631&lt;&gt;"""", GOOGLETRANSLATE(P631, ""RO"", ""EN""), """")"),"respondent")</f>
        <v>respondent</v>
      </c>
      <c r="F631" s="5" t="str">
        <f>IFERROR(__xludf.DUMMYFUNCTION("IF(Q631&lt;&gt;"""", GOOGLETRANSLATE(Q631, ""RO"", ""EN""), """")"),"Someone else in the family")</f>
        <v>Someone else in the family</v>
      </c>
      <c r="G631" s="5" t="str">
        <f>IFERROR(__xludf.DUMMYFUNCTION("IF(R631&lt;&gt;"""", GOOGLETRANSLATE(R631, ""RO"", ""EN""), """")"),"The respondent and someone else")</f>
        <v>The respondent and someone else</v>
      </c>
      <c r="H631" s="5" t="str">
        <f>IFERROR(__xludf.DUMMYFUNCTION("IF(U631&lt;&gt;"""", GOOGLETRANSLATE(U631, ""RO"", ""EN""), """")"),"No one")</f>
        <v>No one</v>
      </c>
      <c r="I631" s="5" t="str">
        <f>IFERROR(__xludf.DUMMYFUNCTION("IF(V631&lt;&gt;"""", GOOGLETRANSLATE(V631, ""RO"", ""EN""), """")"),"")</f>
        <v/>
      </c>
      <c r="J631" s="5" t="str">
        <f>IFERROR(__xludf.DUMMYFUNCTION("IF(W631&lt;&gt;"""", GOOGLETRANSLATE(W631, ""RO"", ""EN""), """")"),"")</f>
        <v/>
      </c>
      <c r="K631" s="5" t="str">
        <f>IFERROR(__xludf.DUMMYFUNCTION("IF(X631&lt;&gt;"""", GOOGLETRANSLATE(X631, ""RO"", ""EN""), """")"),"")</f>
        <v/>
      </c>
      <c r="L631" s="5" t="str">
        <f>IFERROR(__xludf.DUMMYFUNCTION("IF(S631&lt;&gt;"""", GOOGLETRANSLATE(S631, ""RO"", ""EN""), """")"),"Ns")</f>
        <v>Ns</v>
      </c>
      <c r="M631" s="5" t="str">
        <f>IFERROR(__xludf.DUMMYFUNCTION("IF(T631&lt;&gt;"""", GOOGLETRANSLATE(T631, ""RO"", ""EN""), """")"),"No.")</f>
        <v>No.</v>
      </c>
      <c r="N631" s="5" t="str">
        <f>IFERROR(__xludf.DUMMYFUNCTION("IF(Y631&lt;&gt;"""", GOOGLETRANSLATE(Y631, ""RO"", ""EN""), """")"),"")</f>
        <v/>
      </c>
      <c r="P631" s="4" t="s">
        <v>1765</v>
      </c>
      <c r="Q631" s="4" t="s">
        <v>1766</v>
      </c>
      <c r="R631" s="4" t="s">
        <v>1767</v>
      </c>
      <c r="S631" s="4" t="s">
        <v>103</v>
      </c>
      <c r="T631" s="4" t="s">
        <v>104</v>
      </c>
      <c r="U631" s="4" t="s">
        <v>1768</v>
      </c>
    </row>
    <row r="632" ht="15.75" customHeight="1">
      <c r="A632" s="4" t="s">
        <v>1771</v>
      </c>
      <c r="B632" s="4" t="s">
        <v>1772</v>
      </c>
      <c r="C632" s="4" t="str">
        <f>IFERROR(__xludf.DUMMYFUNCTION("GOOGLETRANSLATE(B632, ""RO"", ""EN"")"),"agricultural associations")</f>
        <v>agricultural associations</v>
      </c>
      <c r="D632" s="5" t="str">
        <f>IFERROR(__xludf.DUMMYFUNCTION("IF(O632&lt;&gt;"""", GOOGLETRANSLATE(O632, ""RO"", ""EN""), """")"),"")</f>
        <v/>
      </c>
      <c r="E632" s="6" t="str">
        <f>IFERROR(__xludf.DUMMYFUNCTION("IF(P632&lt;&gt;"""", GOOGLETRANSLATE(P632, ""RO"", ""EN""), """")"),"respondent")</f>
        <v>respondent</v>
      </c>
      <c r="F632" s="5" t="str">
        <f>IFERROR(__xludf.DUMMYFUNCTION("IF(Q632&lt;&gt;"""", GOOGLETRANSLATE(Q632, ""RO"", ""EN""), """")"),"Someone else in the family")</f>
        <v>Someone else in the family</v>
      </c>
      <c r="G632" s="5" t="str">
        <f>IFERROR(__xludf.DUMMYFUNCTION("IF(R632&lt;&gt;"""", GOOGLETRANSLATE(R632, ""RO"", ""EN""), """")"),"The respondent and someone else")</f>
        <v>The respondent and someone else</v>
      </c>
      <c r="H632" s="5" t="str">
        <f>IFERROR(__xludf.DUMMYFUNCTION("IF(U632&lt;&gt;"""", GOOGLETRANSLATE(U632, ""RO"", ""EN""), """")"),"No one")</f>
        <v>No one</v>
      </c>
      <c r="I632" s="5" t="str">
        <f>IFERROR(__xludf.DUMMYFUNCTION("IF(V632&lt;&gt;"""", GOOGLETRANSLATE(V632, ""RO"", ""EN""), """")"),"")</f>
        <v/>
      </c>
      <c r="J632" s="5" t="str">
        <f>IFERROR(__xludf.DUMMYFUNCTION("IF(W632&lt;&gt;"""", GOOGLETRANSLATE(W632, ""RO"", ""EN""), """")"),"")</f>
        <v/>
      </c>
      <c r="K632" s="5" t="str">
        <f>IFERROR(__xludf.DUMMYFUNCTION("IF(X632&lt;&gt;"""", GOOGLETRANSLATE(X632, ""RO"", ""EN""), """")"),"")</f>
        <v/>
      </c>
      <c r="L632" s="5" t="str">
        <f>IFERROR(__xludf.DUMMYFUNCTION("IF(S632&lt;&gt;"""", GOOGLETRANSLATE(S632, ""RO"", ""EN""), """")"),"Ns")</f>
        <v>Ns</v>
      </c>
      <c r="M632" s="5" t="str">
        <f>IFERROR(__xludf.DUMMYFUNCTION("IF(T632&lt;&gt;"""", GOOGLETRANSLATE(T632, ""RO"", ""EN""), """")"),"No.")</f>
        <v>No.</v>
      </c>
      <c r="N632" s="5" t="str">
        <f>IFERROR(__xludf.DUMMYFUNCTION("IF(Y632&lt;&gt;"""", GOOGLETRANSLATE(Y632, ""RO"", ""EN""), """")"),"")</f>
        <v/>
      </c>
      <c r="P632" s="4" t="s">
        <v>1765</v>
      </c>
      <c r="Q632" s="4" t="s">
        <v>1766</v>
      </c>
      <c r="R632" s="4" t="s">
        <v>1767</v>
      </c>
      <c r="S632" s="4" t="s">
        <v>103</v>
      </c>
      <c r="T632" s="4" t="s">
        <v>104</v>
      </c>
      <c r="U632" s="4" t="s">
        <v>1768</v>
      </c>
    </row>
    <row r="633" ht="15.75" customHeight="1">
      <c r="A633" s="4" t="s">
        <v>1773</v>
      </c>
      <c r="B633" s="4" t="s">
        <v>1774</v>
      </c>
      <c r="C633" s="4" t="str">
        <f>IFERROR(__xludf.DUMMYFUNCTION("GOOGLETRANSLATE(B633, ""RO"", ""EN"")"),"Professional associations")</f>
        <v>Professional associations</v>
      </c>
      <c r="D633" s="5" t="str">
        <f>IFERROR(__xludf.DUMMYFUNCTION("IF(O633&lt;&gt;"""", GOOGLETRANSLATE(O633, ""RO"", ""EN""), """")"),"")</f>
        <v/>
      </c>
      <c r="E633" s="6" t="str">
        <f>IFERROR(__xludf.DUMMYFUNCTION("IF(P633&lt;&gt;"""", GOOGLETRANSLATE(P633, ""RO"", ""EN""), """")"),"respondent")</f>
        <v>respondent</v>
      </c>
      <c r="F633" s="5" t="str">
        <f>IFERROR(__xludf.DUMMYFUNCTION("IF(Q633&lt;&gt;"""", GOOGLETRANSLATE(Q633, ""RO"", ""EN""), """")"),"Someone else in the family")</f>
        <v>Someone else in the family</v>
      </c>
      <c r="G633" s="5" t="str">
        <f>IFERROR(__xludf.DUMMYFUNCTION("IF(R633&lt;&gt;"""", GOOGLETRANSLATE(R633, ""RO"", ""EN""), """")"),"The respondent and someone else")</f>
        <v>The respondent and someone else</v>
      </c>
      <c r="H633" s="5" t="str">
        <f>IFERROR(__xludf.DUMMYFUNCTION("IF(U633&lt;&gt;"""", GOOGLETRANSLATE(U633, ""RO"", ""EN""), """")"),"No one")</f>
        <v>No one</v>
      </c>
      <c r="I633" s="5" t="str">
        <f>IFERROR(__xludf.DUMMYFUNCTION("IF(V633&lt;&gt;"""", GOOGLETRANSLATE(V633, ""RO"", ""EN""), """")"),"")</f>
        <v/>
      </c>
      <c r="J633" s="5" t="str">
        <f>IFERROR(__xludf.DUMMYFUNCTION("IF(W633&lt;&gt;"""", GOOGLETRANSLATE(W633, ""RO"", ""EN""), """")"),"")</f>
        <v/>
      </c>
      <c r="K633" s="5" t="str">
        <f>IFERROR(__xludf.DUMMYFUNCTION("IF(X633&lt;&gt;"""", GOOGLETRANSLATE(X633, ""RO"", ""EN""), """")"),"")</f>
        <v/>
      </c>
      <c r="L633" s="5" t="str">
        <f>IFERROR(__xludf.DUMMYFUNCTION("IF(S633&lt;&gt;"""", GOOGLETRANSLATE(S633, ""RO"", ""EN""), """")"),"Ns")</f>
        <v>Ns</v>
      </c>
      <c r="M633" s="5" t="str">
        <f>IFERROR(__xludf.DUMMYFUNCTION("IF(T633&lt;&gt;"""", GOOGLETRANSLATE(T633, ""RO"", ""EN""), """")"),"No.")</f>
        <v>No.</v>
      </c>
      <c r="N633" s="5" t="str">
        <f>IFERROR(__xludf.DUMMYFUNCTION("IF(Y633&lt;&gt;"""", GOOGLETRANSLATE(Y633, ""RO"", ""EN""), """")"),"")</f>
        <v/>
      </c>
      <c r="P633" s="4" t="s">
        <v>1765</v>
      </c>
      <c r="Q633" s="4" t="s">
        <v>1766</v>
      </c>
      <c r="R633" s="4" t="s">
        <v>1767</v>
      </c>
      <c r="S633" s="4" t="s">
        <v>103</v>
      </c>
      <c r="T633" s="4" t="s">
        <v>104</v>
      </c>
      <c r="U633" s="4" t="s">
        <v>1768</v>
      </c>
    </row>
    <row r="634" ht="15.75" customHeight="1">
      <c r="A634" s="4" t="s">
        <v>1775</v>
      </c>
      <c r="B634" s="4" t="s">
        <v>1776</v>
      </c>
      <c r="C634" s="4" t="str">
        <f>IFERROR(__xludf.DUMMYFUNCTION("GOOGLETRANSLATE(B634, ""RO"", ""EN"")"),"Generally speaking, would you say that you can trust most people or is it better to be careful in relationships with people? Please indicate the answer by giving grades from 1 to 10, where 1 means ""it is better to be careful in relationships with")</f>
        <v>Generally speaking, would you say that you can trust most people or is it better to be careful in relationships with people? Please indicate the answer by giving grades from 1 to 10, where 1 means "it is better to be careful in relationships with</v>
      </c>
      <c r="D634" s="5" t="str">
        <f>IFERROR(__xludf.DUMMYFUNCTION("IF(O634&lt;&gt;"""", GOOGLETRANSLATE(O634, ""RO"", ""EN""), """")"),"")</f>
        <v/>
      </c>
      <c r="E634" s="6" t="str">
        <f>IFERROR(__xludf.DUMMYFUNCTION("IF(P634&lt;&gt;"""", GOOGLETRANSLATE(P634, ""RO"", ""EN""), """")"),"It's better to be careful in relationships with people")</f>
        <v>It's better to be careful in relationships with people</v>
      </c>
      <c r="F634" s="5" t="str">
        <f>IFERROR(__xludf.DUMMYFUNCTION("IF(Q634&lt;&gt;"""", GOOGLETRANSLATE(Q634, ""RO"", ""EN""), """")"),"2")</f>
        <v>2</v>
      </c>
      <c r="G634" s="5" t="str">
        <f>IFERROR(__xludf.DUMMYFUNCTION("IF(R634&lt;&gt;"""", GOOGLETRANSLATE(R634, ""RO"", ""EN""), """")"),"3")</f>
        <v>3</v>
      </c>
      <c r="H634" s="5" t="str">
        <f>IFERROR(__xludf.DUMMYFUNCTION("IF(U634&lt;&gt;"""", GOOGLETRANSLATE(U634, ""RO"", ""EN""), """")"),"4")</f>
        <v>4</v>
      </c>
      <c r="I634" s="5" t="str">
        <f>IFERROR(__xludf.DUMMYFUNCTION("IF(V634&lt;&gt;"""", GOOGLETRANSLATE(V634, ""RO"", ""EN""), """")"),"5")</f>
        <v>5</v>
      </c>
      <c r="J634" s="5" t="str">
        <f>IFERROR(__xludf.DUMMYFUNCTION("IF(W634&lt;&gt;"""", GOOGLETRANSLATE(W634, ""RO"", ""EN""), """")"),"6")</f>
        <v>6</v>
      </c>
      <c r="K634" s="5" t="str">
        <f>IFERROR(__xludf.DUMMYFUNCTION("IF(X634&lt;&gt;"""", GOOGLETRANSLATE(X634, ""RO"", ""EN""), """")"),"7")</f>
        <v>7</v>
      </c>
      <c r="L634" s="5" t="str">
        <f>IFERROR(__xludf.DUMMYFUNCTION("IF(S634&lt;&gt;"""", GOOGLETRANSLATE(S634, ""RO"", ""EN""), """")"),"8")</f>
        <v>8</v>
      </c>
      <c r="M634" s="5" t="str">
        <f>IFERROR(__xludf.DUMMYFUNCTION("IF(T634&lt;&gt;"""", GOOGLETRANSLATE(T634, ""RO"", ""EN""), """")"),"9")</f>
        <v>9</v>
      </c>
      <c r="N634" s="5" t="str">
        <f>IFERROR(__xludf.DUMMYFUNCTION("IF(Y634&lt;&gt;"""", GOOGLETRANSLATE(Y634, ""RO"", ""EN""), """")"),"It can be confident in most people")</f>
        <v>It can be confident in most people</v>
      </c>
      <c r="P634" s="4" t="s">
        <v>1777</v>
      </c>
      <c r="Q634" s="4" t="s">
        <v>169</v>
      </c>
      <c r="R634" s="4" t="s">
        <v>170</v>
      </c>
      <c r="S634" s="4" t="s">
        <v>171</v>
      </c>
      <c r="T634" s="4" t="s">
        <v>172</v>
      </c>
      <c r="U634" s="4" t="s">
        <v>173</v>
      </c>
      <c r="V634" s="4" t="s">
        <v>174</v>
      </c>
      <c r="W634" s="4" t="s">
        <v>175</v>
      </c>
      <c r="X634" s="4" t="s">
        <v>176</v>
      </c>
      <c r="Y634" s="4" t="s">
        <v>1778</v>
      </c>
      <c r="AA634" s="4" t="s">
        <v>103</v>
      </c>
      <c r="AB634" s="4" t="s">
        <v>104</v>
      </c>
    </row>
    <row r="635" ht="15.75" customHeight="1">
      <c r="A635" s="4" t="s">
        <v>1779</v>
      </c>
      <c r="B635" s="4" t="s">
        <v>1780</v>
      </c>
      <c r="C635" s="4" t="str">
        <f>IFERROR(__xludf.DUMMYFUNCTION("GOOGLETRANSLATE(B635, ""RO"", ""EN"")"),"On a scale from 0 to 10, in which 0 means ""at all agree"" and 10 means ""total agreement"", to what extent do you agree with each of the following statements? We should allow people of different races or ethnicities to come to live in Romania SA")</f>
        <v>On a scale from 0 to 10, in which 0 means "at all agree" and 10 means "total agreement", to what extent do you agree with each of the following statements? We should allow people of different races or ethnicities to come to live in Romania SA</v>
      </c>
      <c r="D635" s="5" t="str">
        <f>IFERROR(__xludf.DUMMYFUNCTION("IF(O635&lt;&gt;"""", GOOGLETRANSLATE(O635, ""RO"", ""EN""), """")"),"Not at all agreement")</f>
        <v>Not at all agreement</v>
      </c>
      <c r="E635" s="6" t="str">
        <f>IFERROR(__xludf.DUMMYFUNCTION("IF(P635&lt;&gt;"""", GOOGLETRANSLATE(P635, ""RO"", ""EN""), """")"),"1")</f>
        <v>1</v>
      </c>
      <c r="F635" s="5" t="str">
        <f>IFERROR(__xludf.DUMMYFUNCTION("IF(Q635&lt;&gt;"""", GOOGLETRANSLATE(Q635, ""RO"", ""EN""), """")"),"2")</f>
        <v>2</v>
      </c>
      <c r="G635" s="5" t="str">
        <f>IFERROR(__xludf.DUMMYFUNCTION("IF(R635&lt;&gt;"""", GOOGLETRANSLATE(R635, ""RO"", ""EN""), """")"),"3")</f>
        <v>3</v>
      </c>
      <c r="H635" s="5" t="str">
        <f>IFERROR(__xludf.DUMMYFUNCTION("IF(U635&lt;&gt;"""", GOOGLETRANSLATE(U635, ""RO"", ""EN""), """")"),"4")</f>
        <v>4</v>
      </c>
      <c r="I635" s="5" t="str">
        <f>IFERROR(__xludf.DUMMYFUNCTION("IF(V635&lt;&gt;"""", GOOGLETRANSLATE(V635, ""RO"", ""EN""), """")"),"5")</f>
        <v>5</v>
      </c>
      <c r="J635" s="5" t="str">
        <f>IFERROR(__xludf.DUMMYFUNCTION("IF(W635&lt;&gt;"""", GOOGLETRANSLATE(W635, ""RO"", ""EN""), """")"),"6")</f>
        <v>6</v>
      </c>
      <c r="K635" s="5" t="str">
        <f>IFERROR(__xludf.DUMMYFUNCTION("IF(X635&lt;&gt;"""", GOOGLETRANSLATE(X635, ""RO"", ""EN""), """")"),"7")</f>
        <v>7</v>
      </c>
      <c r="L635" s="5" t="str">
        <f>IFERROR(__xludf.DUMMYFUNCTION("IF(S635&lt;&gt;"""", GOOGLETRANSLATE(S635, ""RO"", ""EN""), """")"),"8")</f>
        <v>8</v>
      </c>
      <c r="M635" s="5" t="str">
        <f>IFERROR(__xludf.DUMMYFUNCTION("IF(T635&lt;&gt;"""", GOOGLETRANSLATE(T635, ""RO"", ""EN""), """")"),"9")</f>
        <v>9</v>
      </c>
      <c r="N635" s="5" t="str">
        <f>IFERROR(__xludf.DUMMYFUNCTION("IF(Y635&lt;&gt;"""", GOOGLETRANSLATE(Y635, ""RO"", ""EN""), """")"),"Totally agree")</f>
        <v>Totally agree</v>
      </c>
      <c r="O635" s="4" t="s">
        <v>1781</v>
      </c>
      <c r="P635" s="4" t="s">
        <v>168</v>
      </c>
      <c r="Q635" s="4" t="s">
        <v>169</v>
      </c>
      <c r="R635" s="4" t="s">
        <v>170</v>
      </c>
      <c r="S635" s="4" t="s">
        <v>171</v>
      </c>
      <c r="T635" s="4" t="s">
        <v>172</v>
      </c>
      <c r="U635" s="4" t="s">
        <v>173</v>
      </c>
      <c r="V635" s="4" t="s">
        <v>174</v>
      </c>
      <c r="W635" s="4" t="s">
        <v>175</v>
      </c>
      <c r="X635" s="4" t="s">
        <v>176</v>
      </c>
      <c r="Y635" s="4" t="s">
        <v>663</v>
      </c>
      <c r="AA635" s="4" t="s">
        <v>103</v>
      </c>
      <c r="AB635" s="4" t="s">
        <v>104</v>
      </c>
    </row>
    <row r="636" ht="15.75" customHeight="1">
      <c r="A636" s="4" t="s">
        <v>1782</v>
      </c>
      <c r="B636" s="4" t="s">
        <v>1783</v>
      </c>
      <c r="C636" s="4" t="str">
        <f>IFERROR(__xludf.DUMMYFUNCTION("GOOGLETRANSLATE(B636, ""RO"", ""EN"")"),"The state should redistribute income from those who carry it better to those who carry it worse.")</f>
        <v>The state should redistribute income from those who carry it better to those who carry it worse.</v>
      </c>
      <c r="D636" s="5" t="str">
        <f>IFERROR(__xludf.DUMMYFUNCTION("IF(O636&lt;&gt;"""", GOOGLETRANSLATE(O636, ""RO"", ""EN""), """")"),"Not at all agreement")</f>
        <v>Not at all agreement</v>
      </c>
      <c r="E636" s="6" t="str">
        <f>IFERROR(__xludf.DUMMYFUNCTION("IF(P636&lt;&gt;"""", GOOGLETRANSLATE(P636, ""RO"", ""EN""), """")"),"1")</f>
        <v>1</v>
      </c>
      <c r="F636" s="5" t="str">
        <f>IFERROR(__xludf.DUMMYFUNCTION("IF(Q636&lt;&gt;"""", GOOGLETRANSLATE(Q636, ""RO"", ""EN""), """")"),"2")</f>
        <v>2</v>
      </c>
      <c r="G636" s="5" t="str">
        <f>IFERROR(__xludf.DUMMYFUNCTION("IF(R636&lt;&gt;"""", GOOGLETRANSLATE(R636, ""RO"", ""EN""), """")"),"3")</f>
        <v>3</v>
      </c>
      <c r="H636" s="5" t="str">
        <f>IFERROR(__xludf.DUMMYFUNCTION("IF(U636&lt;&gt;"""", GOOGLETRANSLATE(U636, ""RO"", ""EN""), """")"),"4")</f>
        <v>4</v>
      </c>
      <c r="I636" s="5" t="str">
        <f>IFERROR(__xludf.DUMMYFUNCTION("IF(V636&lt;&gt;"""", GOOGLETRANSLATE(V636, ""RO"", ""EN""), """")"),"5")</f>
        <v>5</v>
      </c>
      <c r="J636" s="5" t="str">
        <f>IFERROR(__xludf.DUMMYFUNCTION("IF(W636&lt;&gt;"""", GOOGLETRANSLATE(W636, ""RO"", ""EN""), """")"),"6")</f>
        <v>6</v>
      </c>
      <c r="K636" s="5" t="str">
        <f>IFERROR(__xludf.DUMMYFUNCTION("IF(X636&lt;&gt;"""", GOOGLETRANSLATE(X636, ""RO"", ""EN""), """")"),"7")</f>
        <v>7</v>
      </c>
      <c r="L636" s="5" t="str">
        <f>IFERROR(__xludf.DUMMYFUNCTION("IF(S636&lt;&gt;"""", GOOGLETRANSLATE(S636, ""RO"", ""EN""), """")"),"8")</f>
        <v>8</v>
      </c>
      <c r="M636" s="5" t="str">
        <f>IFERROR(__xludf.DUMMYFUNCTION("IF(T636&lt;&gt;"""", GOOGLETRANSLATE(T636, ""RO"", ""EN""), """")"),"9")</f>
        <v>9</v>
      </c>
      <c r="N636" s="5" t="str">
        <f>IFERROR(__xludf.DUMMYFUNCTION("IF(Y636&lt;&gt;"""", GOOGLETRANSLATE(Y636, ""RO"", ""EN""), """")"),"Totally agree")</f>
        <v>Totally agree</v>
      </c>
      <c r="O636" s="4" t="s">
        <v>1781</v>
      </c>
      <c r="P636" s="4" t="s">
        <v>168</v>
      </c>
      <c r="Q636" s="4" t="s">
        <v>169</v>
      </c>
      <c r="R636" s="4" t="s">
        <v>170</v>
      </c>
      <c r="S636" s="4" t="s">
        <v>171</v>
      </c>
      <c r="T636" s="4" t="s">
        <v>172</v>
      </c>
      <c r="U636" s="4" t="s">
        <v>173</v>
      </c>
      <c r="V636" s="4" t="s">
        <v>174</v>
      </c>
      <c r="W636" s="4" t="s">
        <v>175</v>
      </c>
      <c r="X636" s="4" t="s">
        <v>176</v>
      </c>
      <c r="Y636" s="4" t="s">
        <v>663</v>
      </c>
      <c r="AA636" s="4" t="s">
        <v>103</v>
      </c>
      <c r="AB636" s="4" t="s">
        <v>104</v>
      </c>
    </row>
    <row r="637" ht="15.75" customHeight="1">
      <c r="A637" s="4" t="s">
        <v>1784</v>
      </c>
      <c r="B637" s="4" t="s">
        <v>1785</v>
      </c>
      <c r="C637" s="4" t="str">
        <f>IFERROR(__xludf.DUMMYFUNCTION("GOOGLETRANSLATE(B637, ""RO"", ""EN"")"),"Romania should provide humanitarian aid to other countries in case of natural disasters or epidemics")</f>
        <v>Romania should provide humanitarian aid to other countries in case of natural disasters or epidemics</v>
      </c>
      <c r="D637" s="5" t="str">
        <f>IFERROR(__xludf.DUMMYFUNCTION("IF(O637&lt;&gt;"""", GOOGLETRANSLATE(O637, ""RO"", ""EN""), """")"),"Not at all agreement")</f>
        <v>Not at all agreement</v>
      </c>
      <c r="E637" s="6" t="str">
        <f>IFERROR(__xludf.DUMMYFUNCTION("IF(P637&lt;&gt;"""", GOOGLETRANSLATE(P637, ""RO"", ""EN""), """")"),"1")</f>
        <v>1</v>
      </c>
      <c r="F637" s="5" t="str">
        <f>IFERROR(__xludf.DUMMYFUNCTION("IF(Q637&lt;&gt;"""", GOOGLETRANSLATE(Q637, ""RO"", ""EN""), """")"),"2")</f>
        <v>2</v>
      </c>
      <c r="G637" s="5" t="str">
        <f>IFERROR(__xludf.DUMMYFUNCTION("IF(R637&lt;&gt;"""", GOOGLETRANSLATE(R637, ""RO"", ""EN""), """")"),"3")</f>
        <v>3</v>
      </c>
      <c r="H637" s="5" t="str">
        <f>IFERROR(__xludf.DUMMYFUNCTION("IF(U637&lt;&gt;"""", GOOGLETRANSLATE(U637, ""RO"", ""EN""), """")"),"4")</f>
        <v>4</v>
      </c>
      <c r="I637" s="5" t="str">
        <f>IFERROR(__xludf.DUMMYFUNCTION("IF(V637&lt;&gt;"""", GOOGLETRANSLATE(V637, ""RO"", ""EN""), """")"),"5")</f>
        <v>5</v>
      </c>
      <c r="J637" s="5" t="str">
        <f>IFERROR(__xludf.DUMMYFUNCTION("IF(W637&lt;&gt;"""", GOOGLETRANSLATE(W637, ""RO"", ""EN""), """")"),"6")</f>
        <v>6</v>
      </c>
      <c r="K637" s="5" t="str">
        <f>IFERROR(__xludf.DUMMYFUNCTION("IF(X637&lt;&gt;"""", GOOGLETRANSLATE(X637, ""RO"", ""EN""), """")"),"7")</f>
        <v>7</v>
      </c>
      <c r="L637" s="5" t="str">
        <f>IFERROR(__xludf.DUMMYFUNCTION("IF(S637&lt;&gt;"""", GOOGLETRANSLATE(S637, ""RO"", ""EN""), """")"),"8")</f>
        <v>8</v>
      </c>
      <c r="M637" s="5" t="str">
        <f>IFERROR(__xludf.DUMMYFUNCTION("IF(T637&lt;&gt;"""", GOOGLETRANSLATE(T637, ""RO"", ""EN""), """")"),"9")</f>
        <v>9</v>
      </c>
      <c r="N637" s="5" t="str">
        <f>IFERROR(__xludf.DUMMYFUNCTION("IF(Y637&lt;&gt;"""", GOOGLETRANSLATE(Y637, ""RO"", ""EN""), """")"),"Totally agree")</f>
        <v>Totally agree</v>
      </c>
      <c r="O637" s="4" t="s">
        <v>1781</v>
      </c>
      <c r="P637" s="4" t="s">
        <v>168</v>
      </c>
      <c r="Q637" s="4" t="s">
        <v>169</v>
      </c>
      <c r="R637" s="4" t="s">
        <v>170</v>
      </c>
      <c r="S637" s="4" t="s">
        <v>171</v>
      </c>
      <c r="T637" s="4" t="s">
        <v>172</v>
      </c>
      <c r="U637" s="4" t="s">
        <v>173</v>
      </c>
      <c r="V637" s="4" t="s">
        <v>174</v>
      </c>
      <c r="W637" s="4" t="s">
        <v>175</v>
      </c>
      <c r="X637" s="4" t="s">
        <v>176</v>
      </c>
      <c r="Y637" s="4" t="s">
        <v>663</v>
      </c>
      <c r="AA637" s="4" t="s">
        <v>103</v>
      </c>
      <c r="AB637" s="4" t="s">
        <v>104</v>
      </c>
    </row>
    <row r="638" ht="15.75" customHeight="1">
      <c r="A638" s="4" t="s">
        <v>1786</v>
      </c>
      <c r="B638" s="4" t="s">
        <v>1787</v>
      </c>
      <c r="C638" s="4" t="str">
        <f>IFERROR(__xludf.DUMMYFUNCTION("GOOGLETRANSLATE(B638, ""RO"", ""EN"")"),"Romania should help poor countries to develop")</f>
        <v>Romania should help poor countries to develop</v>
      </c>
      <c r="D638" s="5" t="str">
        <f>IFERROR(__xludf.DUMMYFUNCTION("IF(O638&lt;&gt;"""", GOOGLETRANSLATE(O638, ""RO"", ""EN""), """")"),"Not at all agreement")</f>
        <v>Not at all agreement</v>
      </c>
      <c r="E638" s="6" t="str">
        <f>IFERROR(__xludf.DUMMYFUNCTION("IF(P638&lt;&gt;"""", GOOGLETRANSLATE(P638, ""RO"", ""EN""), """")"),"1")</f>
        <v>1</v>
      </c>
      <c r="F638" s="5" t="str">
        <f>IFERROR(__xludf.DUMMYFUNCTION("IF(Q638&lt;&gt;"""", GOOGLETRANSLATE(Q638, ""RO"", ""EN""), """")"),"2")</f>
        <v>2</v>
      </c>
      <c r="G638" s="5" t="str">
        <f>IFERROR(__xludf.DUMMYFUNCTION("IF(R638&lt;&gt;"""", GOOGLETRANSLATE(R638, ""RO"", ""EN""), """")"),"3")</f>
        <v>3</v>
      </c>
      <c r="H638" s="5" t="str">
        <f>IFERROR(__xludf.DUMMYFUNCTION("IF(U638&lt;&gt;"""", GOOGLETRANSLATE(U638, ""RO"", ""EN""), """")"),"4")</f>
        <v>4</v>
      </c>
      <c r="I638" s="5" t="str">
        <f>IFERROR(__xludf.DUMMYFUNCTION("IF(V638&lt;&gt;"""", GOOGLETRANSLATE(V638, ""RO"", ""EN""), """")"),"5")</f>
        <v>5</v>
      </c>
      <c r="J638" s="5" t="str">
        <f>IFERROR(__xludf.DUMMYFUNCTION("IF(W638&lt;&gt;"""", GOOGLETRANSLATE(W638, ""RO"", ""EN""), """")"),"6")</f>
        <v>6</v>
      </c>
      <c r="K638" s="5" t="str">
        <f>IFERROR(__xludf.DUMMYFUNCTION("IF(X638&lt;&gt;"""", GOOGLETRANSLATE(X638, ""RO"", ""EN""), """")"),"7")</f>
        <v>7</v>
      </c>
      <c r="L638" s="5" t="str">
        <f>IFERROR(__xludf.DUMMYFUNCTION("IF(S638&lt;&gt;"""", GOOGLETRANSLATE(S638, ""RO"", ""EN""), """")"),"8")</f>
        <v>8</v>
      </c>
      <c r="M638" s="5" t="str">
        <f>IFERROR(__xludf.DUMMYFUNCTION("IF(T638&lt;&gt;"""", GOOGLETRANSLATE(T638, ""RO"", ""EN""), """")"),"9")</f>
        <v>9</v>
      </c>
      <c r="N638" s="5" t="str">
        <f>IFERROR(__xludf.DUMMYFUNCTION("IF(Y638&lt;&gt;"""", GOOGLETRANSLATE(Y638, ""RO"", ""EN""), """")"),"Totally agree")</f>
        <v>Totally agree</v>
      </c>
      <c r="O638" s="4" t="s">
        <v>1781</v>
      </c>
      <c r="P638" s="4" t="s">
        <v>168</v>
      </c>
      <c r="Q638" s="4" t="s">
        <v>169</v>
      </c>
      <c r="R638" s="4" t="s">
        <v>170</v>
      </c>
      <c r="S638" s="4" t="s">
        <v>171</v>
      </c>
      <c r="T638" s="4" t="s">
        <v>172</v>
      </c>
      <c r="U638" s="4" t="s">
        <v>173</v>
      </c>
      <c r="V638" s="4" t="s">
        <v>174</v>
      </c>
      <c r="W638" s="4" t="s">
        <v>175</v>
      </c>
      <c r="X638" s="4" t="s">
        <v>176</v>
      </c>
      <c r="Y638" s="4" t="s">
        <v>663</v>
      </c>
      <c r="AA638" s="4" t="s">
        <v>103</v>
      </c>
      <c r="AB638" s="4" t="s">
        <v>104</v>
      </c>
    </row>
    <row r="639" ht="15.75" customHeight="1">
      <c r="A639" s="4" t="s">
        <v>1788</v>
      </c>
      <c r="B639" s="4" t="s">
        <v>1789</v>
      </c>
      <c r="C639" s="4" t="str">
        <f>IFERROR(__xludf.DUMMYFUNCTION("GOOGLETRANSLATE(B639, ""RO"", ""EN"")"),"To what extent do you resemble a person for whom it is important ...? to help the people around or")</f>
        <v>To what extent do you resemble a person for whom it is important ...? to help the people around or</v>
      </c>
      <c r="D639" s="5" t="str">
        <f>IFERROR(__xludf.DUMMYFUNCTION("IF(O639&lt;&gt;"""", GOOGLETRANSLATE(O639, ""RO"", ""EN""), """")"),"Not at all")</f>
        <v>Not at all</v>
      </c>
      <c r="E639" s="6" t="str">
        <f>IFERROR(__xludf.DUMMYFUNCTION("IF(P639&lt;&gt;"""", GOOGLETRANSLATE(P639, ""RO"", ""EN""), """")"),"Little bit")</f>
        <v>Little bit</v>
      </c>
      <c r="F639" s="5" t="str">
        <f>IFERROR(__xludf.DUMMYFUNCTION("IF(Q639&lt;&gt;"""", GOOGLETRANSLATE(Q639, ""RO"", ""EN""), """")"),"A lot")</f>
        <v>A lot</v>
      </c>
      <c r="G639" s="5" t="str">
        <f>IFERROR(__xludf.DUMMYFUNCTION("IF(R639&lt;&gt;"""", GOOGLETRANSLATE(R639, ""RO"", ""EN""), """")"),"Very much")</f>
        <v>Very much</v>
      </c>
      <c r="H639" s="5" t="str">
        <f>IFERROR(__xludf.DUMMYFUNCTION("IF(U639&lt;&gt;"""", GOOGLETRANSLATE(U639, ""RO"", ""EN""), """")"),"")</f>
        <v/>
      </c>
      <c r="I639" s="5" t="str">
        <f>IFERROR(__xludf.DUMMYFUNCTION("IF(V639&lt;&gt;"""", GOOGLETRANSLATE(V639, ""RO"", ""EN""), """")"),"")</f>
        <v/>
      </c>
      <c r="J639" s="5" t="str">
        <f>IFERROR(__xludf.DUMMYFUNCTION("IF(W639&lt;&gt;"""", GOOGLETRANSLATE(W639, ""RO"", ""EN""), """")"),"")</f>
        <v/>
      </c>
      <c r="K639" s="5" t="str">
        <f>IFERROR(__xludf.DUMMYFUNCTION("IF(X639&lt;&gt;"""", GOOGLETRANSLATE(X639, ""RO"", ""EN""), """")"),"")</f>
        <v/>
      </c>
      <c r="L639" s="5" t="str">
        <f>IFERROR(__xludf.DUMMYFUNCTION("IF(S639&lt;&gt;"""", GOOGLETRANSLATE(S639, ""RO"", ""EN""), """")"),"Ns")</f>
        <v>Ns</v>
      </c>
      <c r="M639" s="5" t="str">
        <f>IFERROR(__xludf.DUMMYFUNCTION("IF(T639&lt;&gt;"""", GOOGLETRANSLATE(T639, ""RO"", ""EN""), """")"),"No.")</f>
        <v>No.</v>
      </c>
      <c r="N639" s="5" t="str">
        <f>IFERROR(__xludf.DUMMYFUNCTION("IF(Y639&lt;&gt;"""", GOOGLETRANSLATE(Y639, ""RO"", ""EN""), """")"),"")</f>
        <v/>
      </c>
      <c r="O639" s="4" t="s">
        <v>363</v>
      </c>
      <c r="P639" s="4" t="s">
        <v>1790</v>
      </c>
      <c r="Q639" s="4" t="s">
        <v>1791</v>
      </c>
      <c r="R639" s="4" t="s">
        <v>608</v>
      </c>
      <c r="S639" s="4" t="s">
        <v>103</v>
      </c>
      <c r="T639" s="4" t="s">
        <v>104</v>
      </c>
    </row>
    <row r="640" ht="15.75" customHeight="1">
      <c r="A640" s="4" t="s">
        <v>1792</v>
      </c>
      <c r="B640" s="4" t="s">
        <v>1793</v>
      </c>
      <c r="C640" s="4" t="str">
        <f>IFERROR(__xludf.DUMMYFUNCTION("GOOGLETRANSLATE(B640, ""RO"", ""EN"")"),"to listen to the people who are different from her/he")</f>
        <v>to listen to the people who are different from her/he</v>
      </c>
      <c r="D640" s="5" t="str">
        <f>IFERROR(__xludf.DUMMYFUNCTION("IF(O640&lt;&gt;"""", GOOGLETRANSLATE(O640, ""RO"", ""EN""), """")"),"Not at all")</f>
        <v>Not at all</v>
      </c>
      <c r="E640" s="6" t="str">
        <f>IFERROR(__xludf.DUMMYFUNCTION("IF(P640&lt;&gt;"""", GOOGLETRANSLATE(P640, ""RO"", ""EN""), """")"),"Little bit")</f>
        <v>Little bit</v>
      </c>
      <c r="F640" s="5" t="str">
        <f>IFERROR(__xludf.DUMMYFUNCTION("IF(Q640&lt;&gt;"""", GOOGLETRANSLATE(Q640, ""RO"", ""EN""), """")"),"A lot")</f>
        <v>A lot</v>
      </c>
      <c r="G640" s="5" t="str">
        <f>IFERROR(__xludf.DUMMYFUNCTION("IF(R640&lt;&gt;"""", GOOGLETRANSLATE(R640, ""RO"", ""EN""), """")"),"Very much")</f>
        <v>Very much</v>
      </c>
      <c r="H640" s="5" t="str">
        <f>IFERROR(__xludf.DUMMYFUNCTION("IF(U640&lt;&gt;"""", GOOGLETRANSLATE(U640, ""RO"", ""EN""), """")"),"")</f>
        <v/>
      </c>
      <c r="I640" s="5" t="str">
        <f>IFERROR(__xludf.DUMMYFUNCTION("IF(V640&lt;&gt;"""", GOOGLETRANSLATE(V640, ""RO"", ""EN""), """")"),"")</f>
        <v/>
      </c>
      <c r="J640" s="5" t="str">
        <f>IFERROR(__xludf.DUMMYFUNCTION("IF(W640&lt;&gt;"""", GOOGLETRANSLATE(W640, ""RO"", ""EN""), """")"),"")</f>
        <v/>
      </c>
      <c r="K640" s="5" t="str">
        <f>IFERROR(__xludf.DUMMYFUNCTION("IF(X640&lt;&gt;"""", GOOGLETRANSLATE(X640, ""RO"", ""EN""), """")"),"")</f>
        <v/>
      </c>
      <c r="L640" s="5" t="str">
        <f>IFERROR(__xludf.DUMMYFUNCTION("IF(S640&lt;&gt;"""", GOOGLETRANSLATE(S640, ""RO"", ""EN""), """")"),"Ns")</f>
        <v>Ns</v>
      </c>
      <c r="M640" s="5" t="str">
        <f>IFERROR(__xludf.DUMMYFUNCTION("IF(T640&lt;&gt;"""", GOOGLETRANSLATE(T640, ""RO"", ""EN""), """")"),"No.")</f>
        <v>No.</v>
      </c>
      <c r="N640" s="5" t="str">
        <f>IFERROR(__xludf.DUMMYFUNCTION("IF(Y640&lt;&gt;"""", GOOGLETRANSLATE(Y640, ""RO"", ""EN""), """")"),"")</f>
        <v/>
      </c>
      <c r="O640" s="4" t="s">
        <v>363</v>
      </c>
      <c r="P640" s="4" t="s">
        <v>1790</v>
      </c>
      <c r="Q640" s="4" t="s">
        <v>1791</v>
      </c>
      <c r="R640" s="4" t="s">
        <v>608</v>
      </c>
      <c r="S640" s="4" t="s">
        <v>103</v>
      </c>
      <c r="T640" s="4" t="s">
        <v>104</v>
      </c>
    </row>
    <row r="641" ht="15.75" customHeight="1">
      <c r="A641" s="4" t="s">
        <v>1794</v>
      </c>
      <c r="B641" s="4" t="s">
        <v>1795</v>
      </c>
      <c r="C641" s="4" t="str">
        <f>IFERROR(__xludf.DUMMYFUNCTION("GOOGLETRANSLATE(B641, ""RO"", ""EN"")"),"On a scale from 0 to 10, where 0 means ""not"" and 10 means ""a lot"", how much will the living and well -being are concerned ...? your family")</f>
        <v>On a scale from 0 to 10, where 0 means "not" and 10 means "a lot", how much will the living and well -being are concerned ...? your family</v>
      </c>
      <c r="D641" s="5" t="str">
        <f>IFERROR(__xludf.DUMMYFUNCTION("IF(O641&lt;&gt;"""", GOOGLETRANSLATE(O641, ""RO"", ""EN""), """")"),"Not at all")</f>
        <v>Not at all</v>
      </c>
      <c r="E641" s="6" t="str">
        <f>IFERROR(__xludf.DUMMYFUNCTION("IF(P641&lt;&gt;"""", GOOGLETRANSLATE(P641, ""RO"", ""EN""), """")"),"1")</f>
        <v>1</v>
      </c>
      <c r="F641" s="5" t="str">
        <f>IFERROR(__xludf.DUMMYFUNCTION("IF(Q641&lt;&gt;"""", GOOGLETRANSLATE(Q641, ""RO"", ""EN""), """")"),"2")</f>
        <v>2</v>
      </c>
      <c r="G641" s="5" t="str">
        <f>IFERROR(__xludf.DUMMYFUNCTION("IF(R641&lt;&gt;"""", GOOGLETRANSLATE(R641, ""RO"", ""EN""), """")"),"3")</f>
        <v>3</v>
      </c>
      <c r="H641" s="5" t="str">
        <f>IFERROR(__xludf.DUMMYFUNCTION("IF(U641&lt;&gt;"""", GOOGLETRANSLATE(U641, ""RO"", ""EN""), """")"),"4")</f>
        <v>4</v>
      </c>
      <c r="I641" s="5" t="str">
        <f>IFERROR(__xludf.DUMMYFUNCTION("IF(V641&lt;&gt;"""", GOOGLETRANSLATE(V641, ""RO"", ""EN""), """")"),"5")</f>
        <v>5</v>
      </c>
      <c r="J641" s="5" t="str">
        <f>IFERROR(__xludf.DUMMYFUNCTION("IF(W641&lt;&gt;"""", GOOGLETRANSLATE(W641, ""RO"", ""EN""), """")"),"6")</f>
        <v>6</v>
      </c>
      <c r="K641" s="5" t="str">
        <f>IFERROR(__xludf.DUMMYFUNCTION("IF(X641&lt;&gt;"""", GOOGLETRANSLATE(X641, ""RO"", ""EN""), """")"),"7")</f>
        <v>7</v>
      </c>
      <c r="L641" s="5" t="str">
        <f>IFERROR(__xludf.DUMMYFUNCTION("IF(S641&lt;&gt;"""", GOOGLETRANSLATE(S641, ""RO"", ""EN""), """")"),"8")</f>
        <v>8</v>
      </c>
      <c r="M641" s="5" t="str">
        <f>IFERROR(__xludf.DUMMYFUNCTION("IF(T641&lt;&gt;"""", GOOGLETRANSLATE(T641, ""RO"", ""EN""), """")"),"9")</f>
        <v>9</v>
      </c>
      <c r="N641" s="5" t="str">
        <f>IFERROR(__xludf.DUMMYFUNCTION("IF(Y641&lt;&gt;"""", GOOGLETRANSLATE(Y641, ""RO"", ""EN""), """")"),"Very much")</f>
        <v>Very much</v>
      </c>
      <c r="O641" s="4" t="s">
        <v>363</v>
      </c>
      <c r="P641" s="4" t="s">
        <v>168</v>
      </c>
      <c r="Q641" s="4" t="s">
        <v>169</v>
      </c>
      <c r="R641" s="4" t="s">
        <v>170</v>
      </c>
      <c r="S641" s="4" t="s">
        <v>171</v>
      </c>
      <c r="T641" s="4" t="s">
        <v>172</v>
      </c>
      <c r="U641" s="4" t="s">
        <v>173</v>
      </c>
      <c r="V641" s="4" t="s">
        <v>174</v>
      </c>
      <c r="W641" s="4" t="s">
        <v>175</v>
      </c>
      <c r="X641" s="4" t="s">
        <v>176</v>
      </c>
      <c r="Y641" s="4" t="s">
        <v>608</v>
      </c>
      <c r="AA641" s="4" t="s">
        <v>103</v>
      </c>
      <c r="AB641" s="4" t="s">
        <v>104</v>
      </c>
    </row>
    <row r="642" ht="15.75" customHeight="1">
      <c r="A642" s="4" t="s">
        <v>1796</v>
      </c>
      <c r="B642" s="4" t="s">
        <v>1797</v>
      </c>
      <c r="C642" s="4" t="str">
        <f>IFERROR(__xludf.DUMMYFUNCTION("GOOGLETRANSLATE(B642, ""RO"", ""EN"")"),"... to your neighbors")</f>
        <v>... to your neighbors</v>
      </c>
      <c r="D642" s="5" t="str">
        <f>IFERROR(__xludf.DUMMYFUNCTION("IF(O642&lt;&gt;"""", GOOGLETRANSLATE(O642, ""RO"", ""EN""), """")"),"Not at all")</f>
        <v>Not at all</v>
      </c>
      <c r="E642" s="6" t="str">
        <f>IFERROR(__xludf.DUMMYFUNCTION("IF(P642&lt;&gt;"""", GOOGLETRANSLATE(P642, ""RO"", ""EN""), """")"),"1")</f>
        <v>1</v>
      </c>
      <c r="F642" s="5" t="str">
        <f>IFERROR(__xludf.DUMMYFUNCTION("IF(Q642&lt;&gt;"""", GOOGLETRANSLATE(Q642, ""RO"", ""EN""), """")"),"2")</f>
        <v>2</v>
      </c>
      <c r="G642" s="5" t="str">
        <f>IFERROR(__xludf.DUMMYFUNCTION("IF(R642&lt;&gt;"""", GOOGLETRANSLATE(R642, ""RO"", ""EN""), """")"),"3")</f>
        <v>3</v>
      </c>
      <c r="H642" s="5" t="str">
        <f>IFERROR(__xludf.DUMMYFUNCTION("IF(U642&lt;&gt;"""", GOOGLETRANSLATE(U642, ""RO"", ""EN""), """")"),"4")</f>
        <v>4</v>
      </c>
      <c r="I642" s="5" t="str">
        <f>IFERROR(__xludf.DUMMYFUNCTION("IF(V642&lt;&gt;"""", GOOGLETRANSLATE(V642, ""RO"", ""EN""), """")"),"5")</f>
        <v>5</v>
      </c>
      <c r="J642" s="5" t="str">
        <f>IFERROR(__xludf.DUMMYFUNCTION("IF(W642&lt;&gt;"""", GOOGLETRANSLATE(W642, ""RO"", ""EN""), """")"),"6")</f>
        <v>6</v>
      </c>
      <c r="K642" s="5" t="str">
        <f>IFERROR(__xludf.DUMMYFUNCTION("IF(X642&lt;&gt;"""", GOOGLETRANSLATE(X642, ""RO"", ""EN""), """")"),"7")</f>
        <v>7</v>
      </c>
      <c r="L642" s="5" t="str">
        <f>IFERROR(__xludf.DUMMYFUNCTION("IF(S642&lt;&gt;"""", GOOGLETRANSLATE(S642, ""RO"", ""EN""), """")"),"8")</f>
        <v>8</v>
      </c>
      <c r="M642" s="5" t="str">
        <f>IFERROR(__xludf.DUMMYFUNCTION("IF(T642&lt;&gt;"""", GOOGLETRANSLATE(T642, ""RO"", ""EN""), """")"),"9")</f>
        <v>9</v>
      </c>
      <c r="N642" s="5" t="str">
        <f>IFERROR(__xludf.DUMMYFUNCTION("IF(Y642&lt;&gt;"""", GOOGLETRANSLATE(Y642, ""RO"", ""EN""), """")"),"Very much")</f>
        <v>Very much</v>
      </c>
      <c r="O642" s="4" t="s">
        <v>363</v>
      </c>
      <c r="P642" s="4" t="s">
        <v>168</v>
      </c>
      <c r="Q642" s="4" t="s">
        <v>169</v>
      </c>
      <c r="R642" s="4" t="s">
        <v>170</v>
      </c>
      <c r="S642" s="4" t="s">
        <v>171</v>
      </c>
      <c r="T642" s="4" t="s">
        <v>172</v>
      </c>
      <c r="U642" s="4" t="s">
        <v>173</v>
      </c>
      <c r="V642" s="4" t="s">
        <v>174</v>
      </c>
      <c r="W642" s="4" t="s">
        <v>175</v>
      </c>
      <c r="X642" s="4" t="s">
        <v>176</v>
      </c>
      <c r="Y642" s="4" t="s">
        <v>608</v>
      </c>
      <c r="AA642" s="4" t="s">
        <v>103</v>
      </c>
      <c r="AB642" s="4" t="s">
        <v>104</v>
      </c>
    </row>
    <row r="643" ht="15.75" customHeight="1">
      <c r="A643" s="4" t="s">
        <v>1798</v>
      </c>
      <c r="B643" s="4" t="s">
        <v>1799</v>
      </c>
      <c r="C643" s="4" t="str">
        <f>IFERROR(__xludf.DUMMYFUNCTION("GOOGLETRANSLATE(B643, ""RO"", ""EN"")"),"... people in your locality.")</f>
        <v>... people in your locality.</v>
      </c>
      <c r="D643" s="5" t="str">
        <f>IFERROR(__xludf.DUMMYFUNCTION("IF(O643&lt;&gt;"""", GOOGLETRANSLATE(O643, ""RO"", ""EN""), """")"),"Not at all")</f>
        <v>Not at all</v>
      </c>
      <c r="E643" s="6" t="str">
        <f>IFERROR(__xludf.DUMMYFUNCTION("IF(P643&lt;&gt;"""", GOOGLETRANSLATE(P643, ""RO"", ""EN""), """")"),"1")</f>
        <v>1</v>
      </c>
      <c r="F643" s="5" t="str">
        <f>IFERROR(__xludf.DUMMYFUNCTION("IF(Q643&lt;&gt;"""", GOOGLETRANSLATE(Q643, ""RO"", ""EN""), """")"),"2")</f>
        <v>2</v>
      </c>
      <c r="G643" s="5" t="str">
        <f>IFERROR(__xludf.DUMMYFUNCTION("IF(R643&lt;&gt;"""", GOOGLETRANSLATE(R643, ""RO"", ""EN""), """")"),"3")</f>
        <v>3</v>
      </c>
      <c r="H643" s="5" t="str">
        <f>IFERROR(__xludf.DUMMYFUNCTION("IF(U643&lt;&gt;"""", GOOGLETRANSLATE(U643, ""RO"", ""EN""), """")"),"4")</f>
        <v>4</v>
      </c>
      <c r="I643" s="5" t="str">
        <f>IFERROR(__xludf.DUMMYFUNCTION("IF(V643&lt;&gt;"""", GOOGLETRANSLATE(V643, ""RO"", ""EN""), """")"),"5")</f>
        <v>5</v>
      </c>
      <c r="J643" s="5" t="str">
        <f>IFERROR(__xludf.DUMMYFUNCTION("IF(W643&lt;&gt;"""", GOOGLETRANSLATE(W643, ""RO"", ""EN""), """")"),"6")</f>
        <v>6</v>
      </c>
      <c r="K643" s="5" t="str">
        <f>IFERROR(__xludf.DUMMYFUNCTION("IF(X643&lt;&gt;"""", GOOGLETRANSLATE(X643, ""RO"", ""EN""), """")"),"7")</f>
        <v>7</v>
      </c>
      <c r="L643" s="5" t="str">
        <f>IFERROR(__xludf.DUMMYFUNCTION("IF(S643&lt;&gt;"""", GOOGLETRANSLATE(S643, ""RO"", ""EN""), """")"),"8")</f>
        <v>8</v>
      </c>
      <c r="M643" s="5" t="str">
        <f>IFERROR(__xludf.DUMMYFUNCTION("IF(T643&lt;&gt;"""", GOOGLETRANSLATE(T643, ""RO"", ""EN""), """")"),"9")</f>
        <v>9</v>
      </c>
      <c r="N643" s="5" t="str">
        <f>IFERROR(__xludf.DUMMYFUNCTION("IF(Y643&lt;&gt;"""", GOOGLETRANSLATE(Y643, ""RO"", ""EN""), """")"),"Very much")</f>
        <v>Very much</v>
      </c>
      <c r="O643" s="4" t="s">
        <v>363</v>
      </c>
      <c r="P643" s="4" t="s">
        <v>168</v>
      </c>
      <c r="Q643" s="4" t="s">
        <v>169</v>
      </c>
      <c r="R643" s="4" t="s">
        <v>170</v>
      </c>
      <c r="S643" s="4" t="s">
        <v>171</v>
      </c>
      <c r="T643" s="4" t="s">
        <v>172</v>
      </c>
      <c r="U643" s="4" t="s">
        <v>173</v>
      </c>
      <c r="V643" s="4" t="s">
        <v>174</v>
      </c>
      <c r="W643" s="4" t="s">
        <v>175</v>
      </c>
      <c r="X643" s="4" t="s">
        <v>176</v>
      </c>
      <c r="Y643" s="4" t="s">
        <v>608</v>
      </c>
      <c r="AA643" s="4" t="s">
        <v>103</v>
      </c>
      <c r="AB643" s="4" t="s">
        <v>104</v>
      </c>
    </row>
    <row r="644" ht="15.75" customHeight="1">
      <c r="A644" s="4" t="s">
        <v>1800</v>
      </c>
      <c r="B644" s="4" t="s">
        <v>1801</v>
      </c>
      <c r="C644" s="4" t="str">
        <f>IFERROR(__xludf.DUMMYFUNCTION("GOOGLETRANSLATE(B644, ""RO"", ""EN"")"),"... the citizens of Romania")</f>
        <v>... the citizens of Romania</v>
      </c>
      <c r="D644" s="5" t="str">
        <f>IFERROR(__xludf.DUMMYFUNCTION("IF(O644&lt;&gt;"""", GOOGLETRANSLATE(O644, ""RO"", ""EN""), """")"),"Not at all")</f>
        <v>Not at all</v>
      </c>
      <c r="E644" s="6" t="str">
        <f>IFERROR(__xludf.DUMMYFUNCTION("IF(P644&lt;&gt;"""", GOOGLETRANSLATE(P644, ""RO"", ""EN""), """")"),"1")</f>
        <v>1</v>
      </c>
      <c r="F644" s="5" t="str">
        <f>IFERROR(__xludf.DUMMYFUNCTION("IF(Q644&lt;&gt;"""", GOOGLETRANSLATE(Q644, ""RO"", ""EN""), """")"),"2")</f>
        <v>2</v>
      </c>
      <c r="G644" s="5" t="str">
        <f>IFERROR(__xludf.DUMMYFUNCTION("IF(R644&lt;&gt;"""", GOOGLETRANSLATE(R644, ""RO"", ""EN""), """")"),"3")</f>
        <v>3</v>
      </c>
      <c r="H644" s="5" t="str">
        <f>IFERROR(__xludf.DUMMYFUNCTION("IF(U644&lt;&gt;"""", GOOGLETRANSLATE(U644, ""RO"", ""EN""), """")"),"4")</f>
        <v>4</v>
      </c>
      <c r="I644" s="5" t="str">
        <f>IFERROR(__xludf.DUMMYFUNCTION("IF(V644&lt;&gt;"""", GOOGLETRANSLATE(V644, ""RO"", ""EN""), """")"),"5")</f>
        <v>5</v>
      </c>
      <c r="J644" s="5" t="str">
        <f>IFERROR(__xludf.DUMMYFUNCTION("IF(W644&lt;&gt;"""", GOOGLETRANSLATE(W644, ""RO"", ""EN""), """")"),"6")</f>
        <v>6</v>
      </c>
      <c r="K644" s="5" t="str">
        <f>IFERROR(__xludf.DUMMYFUNCTION("IF(X644&lt;&gt;"""", GOOGLETRANSLATE(X644, ""RO"", ""EN""), """")"),"7")</f>
        <v>7</v>
      </c>
      <c r="L644" s="5" t="str">
        <f>IFERROR(__xludf.DUMMYFUNCTION("IF(S644&lt;&gt;"""", GOOGLETRANSLATE(S644, ""RO"", ""EN""), """")"),"8")</f>
        <v>8</v>
      </c>
      <c r="M644" s="5" t="str">
        <f>IFERROR(__xludf.DUMMYFUNCTION("IF(T644&lt;&gt;"""", GOOGLETRANSLATE(T644, ""RO"", ""EN""), """")"),"9")</f>
        <v>9</v>
      </c>
      <c r="N644" s="5" t="str">
        <f>IFERROR(__xludf.DUMMYFUNCTION("IF(Y644&lt;&gt;"""", GOOGLETRANSLATE(Y644, ""RO"", ""EN""), """")"),"Very much")</f>
        <v>Very much</v>
      </c>
      <c r="O644" s="4" t="s">
        <v>363</v>
      </c>
      <c r="P644" s="4" t="s">
        <v>168</v>
      </c>
      <c r="Q644" s="4" t="s">
        <v>169</v>
      </c>
      <c r="R644" s="4" t="s">
        <v>170</v>
      </c>
      <c r="S644" s="4" t="s">
        <v>171</v>
      </c>
      <c r="T644" s="4" t="s">
        <v>172</v>
      </c>
      <c r="U644" s="4" t="s">
        <v>173</v>
      </c>
      <c r="V644" s="4" t="s">
        <v>174</v>
      </c>
      <c r="W644" s="4" t="s">
        <v>175</v>
      </c>
      <c r="X644" s="4" t="s">
        <v>176</v>
      </c>
      <c r="Y644" s="4" t="s">
        <v>608</v>
      </c>
      <c r="AA644" s="4" t="s">
        <v>103</v>
      </c>
      <c r="AB644" s="4" t="s">
        <v>104</v>
      </c>
    </row>
    <row r="645" ht="15.75" customHeight="1">
      <c r="A645" s="4" t="s">
        <v>1802</v>
      </c>
      <c r="B645" s="4" t="s">
        <v>1803</v>
      </c>
      <c r="C645" s="4" t="str">
        <f>IFERROR(__xludf.DUMMYFUNCTION("GOOGLETRANSLATE(B645, ""RO"", ""EN"")"),"... Roma")</f>
        <v>... Roma</v>
      </c>
      <c r="D645" s="5" t="str">
        <f>IFERROR(__xludf.DUMMYFUNCTION("IF(O645&lt;&gt;"""", GOOGLETRANSLATE(O645, ""RO"", ""EN""), """")"),"Not at all")</f>
        <v>Not at all</v>
      </c>
      <c r="E645" s="6" t="str">
        <f>IFERROR(__xludf.DUMMYFUNCTION("IF(P645&lt;&gt;"""", GOOGLETRANSLATE(P645, ""RO"", ""EN""), """")"),"1")</f>
        <v>1</v>
      </c>
      <c r="F645" s="5" t="str">
        <f>IFERROR(__xludf.DUMMYFUNCTION("IF(Q645&lt;&gt;"""", GOOGLETRANSLATE(Q645, ""RO"", ""EN""), """")"),"2")</f>
        <v>2</v>
      </c>
      <c r="G645" s="5" t="str">
        <f>IFERROR(__xludf.DUMMYFUNCTION("IF(R645&lt;&gt;"""", GOOGLETRANSLATE(R645, ""RO"", ""EN""), """")"),"3")</f>
        <v>3</v>
      </c>
      <c r="H645" s="5" t="str">
        <f>IFERROR(__xludf.DUMMYFUNCTION("IF(U645&lt;&gt;"""", GOOGLETRANSLATE(U645, ""RO"", ""EN""), """")"),"4")</f>
        <v>4</v>
      </c>
      <c r="I645" s="5" t="str">
        <f>IFERROR(__xludf.DUMMYFUNCTION("IF(V645&lt;&gt;"""", GOOGLETRANSLATE(V645, ""RO"", ""EN""), """")"),"5")</f>
        <v>5</v>
      </c>
      <c r="J645" s="5" t="str">
        <f>IFERROR(__xludf.DUMMYFUNCTION("IF(W645&lt;&gt;"""", GOOGLETRANSLATE(W645, ""RO"", ""EN""), """")"),"6")</f>
        <v>6</v>
      </c>
      <c r="K645" s="5" t="str">
        <f>IFERROR(__xludf.DUMMYFUNCTION("IF(X645&lt;&gt;"""", GOOGLETRANSLATE(X645, ""RO"", ""EN""), """")"),"7")</f>
        <v>7</v>
      </c>
      <c r="L645" s="5" t="str">
        <f>IFERROR(__xludf.DUMMYFUNCTION("IF(S645&lt;&gt;"""", GOOGLETRANSLATE(S645, ""RO"", ""EN""), """")"),"8")</f>
        <v>8</v>
      </c>
      <c r="M645" s="5" t="str">
        <f>IFERROR(__xludf.DUMMYFUNCTION("IF(T645&lt;&gt;"""", GOOGLETRANSLATE(T645, ""RO"", ""EN""), """")"),"9")</f>
        <v>9</v>
      </c>
      <c r="N645" s="5" t="str">
        <f>IFERROR(__xludf.DUMMYFUNCTION("IF(Y645&lt;&gt;"""", GOOGLETRANSLATE(Y645, ""RO"", ""EN""), """")"),"Very much")</f>
        <v>Very much</v>
      </c>
      <c r="O645" s="4" t="s">
        <v>363</v>
      </c>
      <c r="P645" s="4" t="s">
        <v>168</v>
      </c>
      <c r="Q645" s="4" t="s">
        <v>169</v>
      </c>
      <c r="R645" s="4" t="s">
        <v>170</v>
      </c>
      <c r="S645" s="4" t="s">
        <v>171</v>
      </c>
      <c r="T645" s="4" t="s">
        <v>172</v>
      </c>
      <c r="U645" s="4" t="s">
        <v>173</v>
      </c>
      <c r="V645" s="4" t="s">
        <v>174</v>
      </c>
      <c r="W645" s="4" t="s">
        <v>175</v>
      </c>
      <c r="X645" s="4" t="s">
        <v>176</v>
      </c>
      <c r="Y645" s="4" t="s">
        <v>608</v>
      </c>
      <c r="AA645" s="4" t="s">
        <v>103</v>
      </c>
      <c r="AB645" s="4" t="s">
        <v>104</v>
      </c>
    </row>
    <row r="646" ht="15.75" customHeight="1">
      <c r="A646" s="4" t="s">
        <v>1804</v>
      </c>
      <c r="B646" s="4" t="s">
        <v>1805</v>
      </c>
      <c r="C646" s="4" t="str">
        <f>IFERROR(__xludf.DUMMYFUNCTION("GOOGLETRANSLATE(B646, ""RO"", ""EN"")"),"... to other ethnic minorities")</f>
        <v>... to other ethnic minorities</v>
      </c>
      <c r="D646" s="5" t="str">
        <f>IFERROR(__xludf.DUMMYFUNCTION("IF(O646&lt;&gt;"""", GOOGLETRANSLATE(O646, ""RO"", ""EN""), """")"),"Not at all")</f>
        <v>Not at all</v>
      </c>
      <c r="E646" s="6" t="str">
        <f>IFERROR(__xludf.DUMMYFUNCTION("IF(P646&lt;&gt;"""", GOOGLETRANSLATE(P646, ""RO"", ""EN""), """")"),"1")</f>
        <v>1</v>
      </c>
      <c r="F646" s="5" t="str">
        <f>IFERROR(__xludf.DUMMYFUNCTION("IF(Q646&lt;&gt;"""", GOOGLETRANSLATE(Q646, ""RO"", ""EN""), """")"),"2")</f>
        <v>2</v>
      </c>
      <c r="G646" s="5" t="str">
        <f>IFERROR(__xludf.DUMMYFUNCTION("IF(R646&lt;&gt;"""", GOOGLETRANSLATE(R646, ""RO"", ""EN""), """")"),"3")</f>
        <v>3</v>
      </c>
      <c r="H646" s="5" t="str">
        <f>IFERROR(__xludf.DUMMYFUNCTION("IF(U646&lt;&gt;"""", GOOGLETRANSLATE(U646, ""RO"", ""EN""), """")"),"4")</f>
        <v>4</v>
      </c>
      <c r="I646" s="5" t="str">
        <f>IFERROR(__xludf.DUMMYFUNCTION("IF(V646&lt;&gt;"""", GOOGLETRANSLATE(V646, ""RO"", ""EN""), """")"),"5")</f>
        <v>5</v>
      </c>
      <c r="J646" s="5" t="str">
        <f>IFERROR(__xludf.DUMMYFUNCTION("IF(W646&lt;&gt;"""", GOOGLETRANSLATE(W646, ""RO"", ""EN""), """")"),"6")</f>
        <v>6</v>
      </c>
      <c r="K646" s="5" t="str">
        <f>IFERROR(__xludf.DUMMYFUNCTION("IF(X646&lt;&gt;"""", GOOGLETRANSLATE(X646, ""RO"", ""EN""), """")"),"7")</f>
        <v>7</v>
      </c>
      <c r="L646" s="5" t="str">
        <f>IFERROR(__xludf.DUMMYFUNCTION("IF(S646&lt;&gt;"""", GOOGLETRANSLATE(S646, ""RO"", ""EN""), """")"),"8")</f>
        <v>8</v>
      </c>
      <c r="M646" s="5" t="str">
        <f>IFERROR(__xludf.DUMMYFUNCTION("IF(T646&lt;&gt;"""", GOOGLETRANSLATE(T646, ""RO"", ""EN""), """")"),"9")</f>
        <v>9</v>
      </c>
      <c r="N646" s="5" t="str">
        <f>IFERROR(__xludf.DUMMYFUNCTION("IF(Y646&lt;&gt;"""", GOOGLETRANSLATE(Y646, ""RO"", ""EN""), """")"),"Very much")</f>
        <v>Very much</v>
      </c>
      <c r="O646" s="4" t="s">
        <v>363</v>
      </c>
      <c r="P646" s="4" t="s">
        <v>168</v>
      </c>
      <c r="Q646" s="4" t="s">
        <v>169</v>
      </c>
      <c r="R646" s="4" t="s">
        <v>170</v>
      </c>
      <c r="S646" s="4" t="s">
        <v>171</v>
      </c>
      <c r="T646" s="4" t="s">
        <v>172</v>
      </c>
      <c r="U646" s="4" t="s">
        <v>173</v>
      </c>
      <c r="V646" s="4" t="s">
        <v>174</v>
      </c>
      <c r="W646" s="4" t="s">
        <v>175</v>
      </c>
      <c r="X646" s="4" t="s">
        <v>176</v>
      </c>
      <c r="Y646" s="4" t="s">
        <v>608</v>
      </c>
      <c r="AA646" s="4" t="s">
        <v>103</v>
      </c>
      <c r="AB646" s="4" t="s">
        <v>104</v>
      </c>
    </row>
    <row r="647" ht="15.75" customHeight="1">
      <c r="A647" s="4" t="s">
        <v>1806</v>
      </c>
      <c r="B647" s="4" t="s">
        <v>1807</v>
      </c>
      <c r="C647" s="4" t="str">
        <f>IFERROR(__xludf.DUMMYFUNCTION("GOOGLETRANSLATE(B647, ""RO"", ""EN"")"),"... the unemployed")</f>
        <v>... the unemployed</v>
      </c>
      <c r="D647" s="5" t="str">
        <f>IFERROR(__xludf.DUMMYFUNCTION("IF(O647&lt;&gt;"""", GOOGLETRANSLATE(O647, ""RO"", ""EN""), """")"),"Not at all")</f>
        <v>Not at all</v>
      </c>
      <c r="E647" s="6" t="str">
        <f>IFERROR(__xludf.DUMMYFUNCTION("IF(P647&lt;&gt;"""", GOOGLETRANSLATE(P647, ""RO"", ""EN""), """")"),"1")</f>
        <v>1</v>
      </c>
      <c r="F647" s="5" t="str">
        <f>IFERROR(__xludf.DUMMYFUNCTION("IF(Q647&lt;&gt;"""", GOOGLETRANSLATE(Q647, ""RO"", ""EN""), """")"),"2")</f>
        <v>2</v>
      </c>
      <c r="G647" s="5" t="str">
        <f>IFERROR(__xludf.DUMMYFUNCTION("IF(R647&lt;&gt;"""", GOOGLETRANSLATE(R647, ""RO"", ""EN""), """")"),"3")</f>
        <v>3</v>
      </c>
      <c r="H647" s="5" t="str">
        <f>IFERROR(__xludf.DUMMYFUNCTION("IF(U647&lt;&gt;"""", GOOGLETRANSLATE(U647, ""RO"", ""EN""), """")"),"4")</f>
        <v>4</v>
      </c>
      <c r="I647" s="5" t="str">
        <f>IFERROR(__xludf.DUMMYFUNCTION("IF(V647&lt;&gt;"""", GOOGLETRANSLATE(V647, ""RO"", ""EN""), """")"),"5")</f>
        <v>5</v>
      </c>
      <c r="J647" s="5" t="str">
        <f>IFERROR(__xludf.DUMMYFUNCTION("IF(W647&lt;&gt;"""", GOOGLETRANSLATE(W647, ""RO"", ""EN""), """")"),"6")</f>
        <v>6</v>
      </c>
      <c r="K647" s="5" t="str">
        <f>IFERROR(__xludf.DUMMYFUNCTION("IF(X647&lt;&gt;"""", GOOGLETRANSLATE(X647, ""RO"", ""EN""), """")"),"7")</f>
        <v>7</v>
      </c>
      <c r="L647" s="5" t="str">
        <f>IFERROR(__xludf.DUMMYFUNCTION("IF(S647&lt;&gt;"""", GOOGLETRANSLATE(S647, ""RO"", ""EN""), """")"),"8")</f>
        <v>8</v>
      </c>
      <c r="M647" s="5" t="str">
        <f>IFERROR(__xludf.DUMMYFUNCTION("IF(T647&lt;&gt;"""", GOOGLETRANSLATE(T647, ""RO"", ""EN""), """")"),"9")</f>
        <v>9</v>
      </c>
      <c r="N647" s="5" t="str">
        <f>IFERROR(__xludf.DUMMYFUNCTION("IF(Y647&lt;&gt;"""", GOOGLETRANSLATE(Y647, ""RO"", ""EN""), """")"),"Very much")</f>
        <v>Very much</v>
      </c>
      <c r="O647" s="4" t="s">
        <v>363</v>
      </c>
      <c r="P647" s="4" t="s">
        <v>168</v>
      </c>
      <c r="Q647" s="4" t="s">
        <v>169</v>
      </c>
      <c r="R647" s="4" t="s">
        <v>170</v>
      </c>
      <c r="S647" s="4" t="s">
        <v>171</v>
      </c>
      <c r="T647" s="4" t="s">
        <v>172</v>
      </c>
      <c r="U647" s="4" t="s">
        <v>173</v>
      </c>
      <c r="V647" s="4" t="s">
        <v>174</v>
      </c>
      <c r="W647" s="4" t="s">
        <v>175</v>
      </c>
      <c r="X647" s="4" t="s">
        <v>176</v>
      </c>
      <c r="Y647" s="4" t="s">
        <v>608</v>
      </c>
      <c r="AA647" s="4" t="s">
        <v>103</v>
      </c>
      <c r="AB647" s="4" t="s">
        <v>104</v>
      </c>
    </row>
    <row r="648" ht="15.75" customHeight="1">
      <c r="A648" s="4" t="s">
        <v>1808</v>
      </c>
      <c r="B648" s="4" t="s">
        <v>1809</v>
      </c>
      <c r="C648" s="4" t="str">
        <f>IFERROR(__xludf.DUMMYFUNCTION("GOOGLETRANSLATE(B648, ""RO"", ""EN"")"),"... pensioners")</f>
        <v>... pensioners</v>
      </c>
      <c r="D648" s="5" t="str">
        <f>IFERROR(__xludf.DUMMYFUNCTION("IF(O648&lt;&gt;"""", GOOGLETRANSLATE(O648, ""RO"", ""EN""), """")"),"Not at all")</f>
        <v>Not at all</v>
      </c>
      <c r="E648" s="6" t="str">
        <f>IFERROR(__xludf.DUMMYFUNCTION("IF(P648&lt;&gt;"""", GOOGLETRANSLATE(P648, ""RO"", ""EN""), """")"),"1")</f>
        <v>1</v>
      </c>
      <c r="F648" s="5" t="str">
        <f>IFERROR(__xludf.DUMMYFUNCTION("IF(Q648&lt;&gt;"""", GOOGLETRANSLATE(Q648, ""RO"", ""EN""), """")"),"2")</f>
        <v>2</v>
      </c>
      <c r="G648" s="5" t="str">
        <f>IFERROR(__xludf.DUMMYFUNCTION("IF(R648&lt;&gt;"""", GOOGLETRANSLATE(R648, ""RO"", ""EN""), """")"),"3")</f>
        <v>3</v>
      </c>
      <c r="H648" s="5" t="str">
        <f>IFERROR(__xludf.DUMMYFUNCTION("IF(U648&lt;&gt;"""", GOOGLETRANSLATE(U648, ""RO"", ""EN""), """")"),"4")</f>
        <v>4</v>
      </c>
      <c r="I648" s="5" t="str">
        <f>IFERROR(__xludf.DUMMYFUNCTION("IF(V648&lt;&gt;"""", GOOGLETRANSLATE(V648, ""RO"", ""EN""), """")"),"5")</f>
        <v>5</v>
      </c>
      <c r="J648" s="5" t="str">
        <f>IFERROR(__xludf.DUMMYFUNCTION("IF(W648&lt;&gt;"""", GOOGLETRANSLATE(W648, ""RO"", ""EN""), """")"),"6")</f>
        <v>6</v>
      </c>
      <c r="K648" s="5" t="str">
        <f>IFERROR(__xludf.DUMMYFUNCTION("IF(X648&lt;&gt;"""", GOOGLETRANSLATE(X648, ""RO"", ""EN""), """")"),"7")</f>
        <v>7</v>
      </c>
      <c r="L648" s="5" t="str">
        <f>IFERROR(__xludf.DUMMYFUNCTION("IF(S648&lt;&gt;"""", GOOGLETRANSLATE(S648, ""RO"", ""EN""), """")"),"8")</f>
        <v>8</v>
      </c>
      <c r="M648" s="5" t="str">
        <f>IFERROR(__xludf.DUMMYFUNCTION("IF(T648&lt;&gt;"""", GOOGLETRANSLATE(T648, ""RO"", ""EN""), """")"),"9")</f>
        <v>9</v>
      </c>
      <c r="N648" s="5" t="str">
        <f>IFERROR(__xludf.DUMMYFUNCTION("IF(Y648&lt;&gt;"""", GOOGLETRANSLATE(Y648, ""RO"", ""EN""), """")"),"Very much")</f>
        <v>Very much</v>
      </c>
      <c r="O648" s="4" t="s">
        <v>363</v>
      </c>
      <c r="P648" s="4" t="s">
        <v>168</v>
      </c>
      <c r="Q648" s="4" t="s">
        <v>169</v>
      </c>
      <c r="R648" s="4" t="s">
        <v>170</v>
      </c>
      <c r="S648" s="4" t="s">
        <v>171</v>
      </c>
      <c r="T648" s="4" t="s">
        <v>172</v>
      </c>
      <c r="U648" s="4" t="s">
        <v>173</v>
      </c>
      <c r="V648" s="4" t="s">
        <v>174</v>
      </c>
      <c r="W648" s="4" t="s">
        <v>175</v>
      </c>
      <c r="X648" s="4" t="s">
        <v>176</v>
      </c>
      <c r="Y648" s="4" t="s">
        <v>608</v>
      </c>
      <c r="AA648" s="4" t="s">
        <v>103</v>
      </c>
      <c r="AB648" s="4" t="s">
        <v>104</v>
      </c>
    </row>
    <row r="649" ht="15.75" customHeight="1">
      <c r="A649" s="4" t="s">
        <v>1810</v>
      </c>
      <c r="B649" s="4" t="s">
        <v>1811</v>
      </c>
      <c r="C649" s="4" t="str">
        <f>IFERROR(__xludf.DUMMYFUNCTION("GOOGLETRANSLATE(B649, ""RO"", ""EN"")"),"... Europeans")</f>
        <v>... Europeans</v>
      </c>
      <c r="D649" s="5" t="str">
        <f>IFERROR(__xludf.DUMMYFUNCTION("IF(O649&lt;&gt;"""", GOOGLETRANSLATE(O649, ""RO"", ""EN""), """")"),"Not at all")</f>
        <v>Not at all</v>
      </c>
      <c r="E649" s="6" t="str">
        <f>IFERROR(__xludf.DUMMYFUNCTION("IF(P649&lt;&gt;"""", GOOGLETRANSLATE(P649, ""RO"", ""EN""), """")"),"1")</f>
        <v>1</v>
      </c>
      <c r="F649" s="5" t="str">
        <f>IFERROR(__xludf.DUMMYFUNCTION("IF(Q649&lt;&gt;"""", GOOGLETRANSLATE(Q649, ""RO"", ""EN""), """")"),"2")</f>
        <v>2</v>
      </c>
      <c r="G649" s="5" t="str">
        <f>IFERROR(__xludf.DUMMYFUNCTION("IF(R649&lt;&gt;"""", GOOGLETRANSLATE(R649, ""RO"", ""EN""), """")"),"3")</f>
        <v>3</v>
      </c>
      <c r="H649" s="5" t="str">
        <f>IFERROR(__xludf.DUMMYFUNCTION("IF(U649&lt;&gt;"""", GOOGLETRANSLATE(U649, ""RO"", ""EN""), """")"),"4")</f>
        <v>4</v>
      </c>
      <c r="I649" s="5" t="str">
        <f>IFERROR(__xludf.DUMMYFUNCTION("IF(V649&lt;&gt;"""", GOOGLETRANSLATE(V649, ""RO"", ""EN""), """")"),"5")</f>
        <v>5</v>
      </c>
      <c r="J649" s="5" t="str">
        <f>IFERROR(__xludf.DUMMYFUNCTION("IF(W649&lt;&gt;"""", GOOGLETRANSLATE(W649, ""RO"", ""EN""), """")"),"6")</f>
        <v>6</v>
      </c>
      <c r="K649" s="5" t="str">
        <f>IFERROR(__xludf.DUMMYFUNCTION("IF(X649&lt;&gt;"""", GOOGLETRANSLATE(X649, ""RO"", ""EN""), """")"),"7")</f>
        <v>7</v>
      </c>
      <c r="L649" s="5" t="str">
        <f>IFERROR(__xludf.DUMMYFUNCTION("IF(S649&lt;&gt;"""", GOOGLETRANSLATE(S649, ""RO"", ""EN""), """")"),"8")</f>
        <v>8</v>
      </c>
      <c r="M649" s="5" t="str">
        <f>IFERROR(__xludf.DUMMYFUNCTION("IF(T649&lt;&gt;"""", GOOGLETRANSLATE(T649, ""RO"", ""EN""), """")"),"9")</f>
        <v>9</v>
      </c>
      <c r="N649" s="5" t="str">
        <f>IFERROR(__xludf.DUMMYFUNCTION("IF(Y649&lt;&gt;"""", GOOGLETRANSLATE(Y649, ""RO"", ""EN""), """")"),"Very much")</f>
        <v>Very much</v>
      </c>
      <c r="O649" s="4" t="s">
        <v>363</v>
      </c>
      <c r="P649" s="4" t="s">
        <v>168</v>
      </c>
      <c r="Q649" s="4" t="s">
        <v>169</v>
      </c>
      <c r="R649" s="4" t="s">
        <v>170</v>
      </c>
      <c r="S649" s="4" t="s">
        <v>171</v>
      </c>
      <c r="T649" s="4" t="s">
        <v>172</v>
      </c>
      <c r="U649" s="4" t="s">
        <v>173</v>
      </c>
      <c r="V649" s="4" t="s">
        <v>174</v>
      </c>
      <c r="W649" s="4" t="s">
        <v>175</v>
      </c>
      <c r="X649" s="4" t="s">
        <v>176</v>
      </c>
      <c r="Y649" s="4" t="s">
        <v>608</v>
      </c>
      <c r="AA649" s="4" t="s">
        <v>103</v>
      </c>
      <c r="AB649" s="4" t="s">
        <v>104</v>
      </c>
    </row>
    <row r="650" ht="15.75" customHeight="1">
      <c r="A650" s="4" t="s">
        <v>1812</v>
      </c>
      <c r="B650" s="4" t="s">
        <v>1813</v>
      </c>
      <c r="C650" s="4" t="str">
        <f>IFERROR(__xludf.DUMMYFUNCTION("GOOGLETRANSLATE(B650, ""RO"", ""EN"")"),"... people around the world")</f>
        <v>... people around the world</v>
      </c>
      <c r="D650" s="5" t="str">
        <f>IFERROR(__xludf.DUMMYFUNCTION("IF(O650&lt;&gt;"""", GOOGLETRANSLATE(O650, ""RO"", ""EN""), """")"),"Not at all")</f>
        <v>Not at all</v>
      </c>
      <c r="E650" s="6" t="str">
        <f>IFERROR(__xludf.DUMMYFUNCTION("IF(P650&lt;&gt;"""", GOOGLETRANSLATE(P650, ""RO"", ""EN""), """")"),"1")</f>
        <v>1</v>
      </c>
      <c r="F650" s="5" t="str">
        <f>IFERROR(__xludf.DUMMYFUNCTION("IF(Q650&lt;&gt;"""", GOOGLETRANSLATE(Q650, ""RO"", ""EN""), """")"),"2")</f>
        <v>2</v>
      </c>
      <c r="G650" s="5" t="str">
        <f>IFERROR(__xludf.DUMMYFUNCTION("IF(R650&lt;&gt;"""", GOOGLETRANSLATE(R650, ""RO"", ""EN""), """")"),"3")</f>
        <v>3</v>
      </c>
      <c r="H650" s="5" t="str">
        <f>IFERROR(__xludf.DUMMYFUNCTION("IF(U650&lt;&gt;"""", GOOGLETRANSLATE(U650, ""RO"", ""EN""), """")"),"4")</f>
        <v>4</v>
      </c>
      <c r="I650" s="5" t="str">
        <f>IFERROR(__xludf.DUMMYFUNCTION("IF(V650&lt;&gt;"""", GOOGLETRANSLATE(V650, ""RO"", ""EN""), """")"),"5")</f>
        <v>5</v>
      </c>
      <c r="J650" s="5" t="str">
        <f>IFERROR(__xludf.DUMMYFUNCTION("IF(W650&lt;&gt;"""", GOOGLETRANSLATE(W650, ""RO"", ""EN""), """")"),"6")</f>
        <v>6</v>
      </c>
      <c r="K650" s="5" t="str">
        <f>IFERROR(__xludf.DUMMYFUNCTION("IF(X650&lt;&gt;"""", GOOGLETRANSLATE(X650, ""RO"", ""EN""), """")"),"7")</f>
        <v>7</v>
      </c>
      <c r="L650" s="5" t="str">
        <f>IFERROR(__xludf.DUMMYFUNCTION("IF(S650&lt;&gt;"""", GOOGLETRANSLATE(S650, ""RO"", ""EN""), """")"),"8")</f>
        <v>8</v>
      </c>
      <c r="M650" s="5" t="str">
        <f>IFERROR(__xludf.DUMMYFUNCTION("IF(T650&lt;&gt;"""", GOOGLETRANSLATE(T650, ""RO"", ""EN""), """")"),"9")</f>
        <v>9</v>
      </c>
      <c r="N650" s="5" t="str">
        <f>IFERROR(__xludf.DUMMYFUNCTION("IF(Y650&lt;&gt;"""", GOOGLETRANSLATE(Y650, ""RO"", ""EN""), """")"),"Very much")</f>
        <v>Very much</v>
      </c>
      <c r="O650" s="4" t="s">
        <v>363</v>
      </c>
      <c r="P650" s="4" t="s">
        <v>168</v>
      </c>
      <c r="Q650" s="4" t="s">
        <v>169</v>
      </c>
      <c r="R650" s="4" t="s">
        <v>170</v>
      </c>
      <c r="S650" s="4" t="s">
        <v>171</v>
      </c>
      <c r="T650" s="4" t="s">
        <v>172</v>
      </c>
      <c r="U650" s="4" t="s">
        <v>173</v>
      </c>
      <c r="V650" s="4" t="s">
        <v>174</v>
      </c>
      <c r="W650" s="4" t="s">
        <v>175</v>
      </c>
      <c r="X650" s="4" t="s">
        <v>176</v>
      </c>
      <c r="Y650" s="4" t="s">
        <v>608</v>
      </c>
      <c r="AA650" s="4" t="s">
        <v>103</v>
      </c>
      <c r="AB650" s="4" t="s">
        <v>104</v>
      </c>
    </row>
    <row r="651" ht="15.75" customHeight="1">
      <c r="A651" s="4" t="s">
        <v>1814</v>
      </c>
      <c r="B651" s="4" t="s">
        <v>1815</v>
      </c>
      <c r="C651" s="4" t="str">
        <f>IFERROR(__xludf.DUMMYFUNCTION("GOOGLETRANSLATE(B651, ""RO"", ""EN"")"),"In your opinion should they have the right to vote ...? people who do not know how to write and read")</f>
        <v>In your opinion should they have the right to vote ...? people who do not know how to write and read</v>
      </c>
      <c r="D651" s="5" t="str">
        <f>IFERROR(__xludf.DUMMYFUNCTION("IF(O651&lt;&gt;"""", GOOGLETRANSLATE(O651, ""RO"", ""EN""), """")"),"")</f>
        <v/>
      </c>
      <c r="E651" s="6" t="str">
        <f>IFERROR(__xludf.DUMMYFUNCTION("IF(P651&lt;&gt;"""", GOOGLETRANSLATE(P651, ""RO"", ""EN""), """")"),"YES")</f>
        <v>YES</v>
      </c>
      <c r="F651" s="5" t="str">
        <f>IFERROR(__xludf.DUMMYFUNCTION("IF(Q651&lt;&gt;"""", GOOGLETRANSLATE(Q651, ""RO"", ""EN""), """")"),"NOT")</f>
        <v>NOT</v>
      </c>
      <c r="G651" s="5" t="str">
        <f>IFERROR(__xludf.DUMMYFUNCTION("IF(R651&lt;&gt;"""", GOOGLETRANSLATE(R651, ""RO"", ""EN""), """")"),"")</f>
        <v/>
      </c>
      <c r="H651" s="5" t="str">
        <f>IFERROR(__xludf.DUMMYFUNCTION("IF(U651&lt;&gt;"""", GOOGLETRANSLATE(U651, ""RO"", ""EN""), """")"),"")</f>
        <v/>
      </c>
      <c r="I651" s="5" t="str">
        <f>IFERROR(__xludf.DUMMYFUNCTION("IF(V651&lt;&gt;"""", GOOGLETRANSLATE(V651, ""RO"", ""EN""), """")"),"")</f>
        <v/>
      </c>
      <c r="J651" s="5" t="str">
        <f>IFERROR(__xludf.DUMMYFUNCTION("IF(W651&lt;&gt;"""", GOOGLETRANSLATE(W651, ""RO"", ""EN""), """")"),"")</f>
        <v/>
      </c>
      <c r="K651" s="5" t="str">
        <f>IFERROR(__xludf.DUMMYFUNCTION("IF(X651&lt;&gt;"""", GOOGLETRANSLATE(X651, ""RO"", ""EN""), """")"),"")</f>
        <v/>
      </c>
      <c r="L651" s="5" t="str">
        <f>IFERROR(__xludf.DUMMYFUNCTION("IF(S651&lt;&gt;"""", GOOGLETRANSLATE(S651, ""RO"", ""EN""), """")"),"Ns")</f>
        <v>Ns</v>
      </c>
      <c r="M651" s="5" t="str">
        <f>IFERROR(__xludf.DUMMYFUNCTION("IF(T651&lt;&gt;"""", GOOGLETRANSLATE(T651, ""RO"", ""EN""), """")"),"No.")</f>
        <v>No.</v>
      </c>
      <c r="N651" s="5" t="str">
        <f>IFERROR(__xludf.DUMMYFUNCTION("IF(Y651&lt;&gt;"""", GOOGLETRANSLATE(Y651, ""RO"", ""EN""), """")"),"")</f>
        <v/>
      </c>
      <c r="P651" s="4" t="s">
        <v>1816</v>
      </c>
      <c r="Q651" s="4" t="s">
        <v>433</v>
      </c>
      <c r="S651" s="4" t="s">
        <v>103</v>
      </c>
      <c r="T651" s="4" t="s">
        <v>104</v>
      </c>
    </row>
    <row r="652" ht="15.75" customHeight="1">
      <c r="A652" s="4" t="s">
        <v>1817</v>
      </c>
      <c r="B652" s="4" t="s">
        <v>1818</v>
      </c>
      <c r="C652" s="4" t="str">
        <f>IFERROR(__xludf.DUMMYFUNCTION("GOOGLETRANSLATE(B652, ""RO"", ""EN"")")," ... Young people between 16 and 18")</f>
        <v> ... Young people between 16 and 18</v>
      </c>
      <c r="D652" s="5" t="str">
        <f>IFERROR(__xludf.DUMMYFUNCTION("IF(O652&lt;&gt;"""", GOOGLETRANSLATE(O652, ""RO"", ""EN""), """")"),"")</f>
        <v/>
      </c>
      <c r="E652" s="6" t="str">
        <f>IFERROR(__xludf.DUMMYFUNCTION("IF(P652&lt;&gt;"""", GOOGLETRANSLATE(P652, ""RO"", ""EN""), """")"),"YES")</f>
        <v>YES</v>
      </c>
      <c r="F652" s="5" t="str">
        <f>IFERROR(__xludf.DUMMYFUNCTION("IF(Q652&lt;&gt;"""", GOOGLETRANSLATE(Q652, ""RO"", ""EN""), """")"),"NOT")</f>
        <v>NOT</v>
      </c>
      <c r="G652" s="5" t="str">
        <f>IFERROR(__xludf.DUMMYFUNCTION("IF(R652&lt;&gt;"""", GOOGLETRANSLATE(R652, ""RO"", ""EN""), """")"),"")</f>
        <v/>
      </c>
      <c r="H652" s="5" t="str">
        <f>IFERROR(__xludf.DUMMYFUNCTION("IF(U652&lt;&gt;"""", GOOGLETRANSLATE(U652, ""RO"", ""EN""), """")"),"")</f>
        <v/>
      </c>
      <c r="I652" s="5" t="str">
        <f>IFERROR(__xludf.DUMMYFUNCTION("IF(V652&lt;&gt;"""", GOOGLETRANSLATE(V652, ""RO"", ""EN""), """")"),"")</f>
        <v/>
      </c>
      <c r="J652" s="5" t="str">
        <f>IFERROR(__xludf.DUMMYFUNCTION("IF(W652&lt;&gt;"""", GOOGLETRANSLATE(W652, ""RO"", ""EN""), """")"),"")</f>
        <v/>
      </c>
      <c r="K652" s="5" t="str">
        <f>IFERROR(__xludf.DUMMYFUNCTION("IF(X652&lt;&gt;"""", GOOGLETRANSLATE(X652, ""RO"", ""EN""), """")"),"")</f>
        <v/>
      </c>
      <c r="L652" s="5" t="str">
        <f>IFERROR(__xludf.DUMMYFUNCTION("IF(S652&lt;&gt;"""", GOOGLETRANSLATE(S652, ""RO"", ""EN""), """")"),"Ns")</f>
        <v>Ns</v>
      </c>
      <c r="M652" s="5" t="str">
        <f>IFERROR(__xludf.DUMMYFUNCTION("IF(T652&lt;&gt;"""", GOOGLETRANSLATE(T652, ""RO"", ""EN""), """")"),"No.")</f>
        <v>No.</v>
      </c>
      <c r="N652" s="5" t="str">
        <f>IFERROR(__xludf.DUMMYFUNCTION("IF(Y652&lt;&gt;"""", GOOGLETRANSLATE(Y652, ""RO"", ""EN""), """")"),"")</f>
        <v/>
      </c>
      <c r="P652" s="4" t="s">
        <v>1816</v>
      </c>
      <c r="Q652" s="4" t="s">
        <v>433</v>
      </c>
      <c r="S652" s="4" t="s">
        <v>103</v>
      </c>
      <c r="T652" s="4" t="s">
        <v>104</v>
      </c>
    </row>
    <row r="653" ht="15.75" customHeight="1">
      <c r="A653" s="4" t="s">
        <v>1819</v>
      </c>
      <c r="B653" s="4" t="s">
        <v>1820</v>
      </c>
      <c r="C653" s="4" t="str">
        <f>IFERROR(__xludf.DUMMYFUNCTION("GOOGLETRANSLATE(B653, ""RO"", ""EN"")"),"... criminally convicted persons")</f>
        <v>... criminally convicted persons</v>
      </c>
      <c r="D653" s="5" t="str">
        <f>IFERROR(__xludf.DUMMYFUNCTION("IF(O653&lt;&gt;"""", GOOGLETRANSLATE(O653, ""RO"", ""EN""), """")"),"")</f>
        <v/>
      </c>
      <c r="E653" s="6" t="str">
        <f>IFERROR(__xludf.DUMMYFUNCTION("IF(P653&lt;&gt;"""", GOOGLETRANSLATE(P653, ""RO"", ""EN""), """")"),"YES")</f>
        <v>YES</v>
      </c>
      <c r="F653" s="5" t="str">
        <f>IFERROR(__xludf.DUMMYFUNCTION("IF(Q653&lt;&gt;"""", GOOGLETRANSLATE(Q653, ""RO"", ""EN""), """")"),"NOT")</f>
        <v>NOT</v>
      </c>
      <c r="G653" s="5" t="str">
        <f>IFERROR(__xludf.DUMMYFUNCTION("IF(R653&lt;&gt;"""", GOOGLETRANSLATE(R653, ""RO"", ""EN""), """")"),"")</f>
        <v/>
      </c>
      <c r="H653" s="5" t="str">
        <f>IFERROR(__xludf.DUMMYFUNCTION("IF(U653&lt;&gt;"""", GOOGLETRANSLATE(U653, ""RO"", ""EN""), """")"),"")</f>
        <v/>
      </c>
      <c r="I653" s="5" t="str">
        <f>IFERROR(__xludf.DUMMYFUNCTION("IF(V653&lt;&gt;"""", GOOGLETRANSLATE(V653, ""RO"", ""EN""), """")"),"")</f>
        <v/>
      </c>
      <c r="J653" s="5" t="str">
        <f>IFERROR(__xludf.DUMMYFUNCTION("IF(W653&lt;&gt;"""", GOOGLETRANSLATE(W653, ""RO"", ""EN""), """")"),"")</f>
        <v/>
      </c>
      <c r="K653" s="5" t="str">
        <f>IFERROR(__xludf.DUMMYFUNCTION("IF(X653&lt;&gt;"""", GOOGLETRANSLATE(X653, ""RO"", ""EN""), """")"),"")</f>
        <v/>
      </c>
      <c r="L653" s="5" t="str">
        <f>IFERROR(__xludf.DUMMYFUNCTION("IF(S653&lt;&gt;"""", GOOGLETRANSLATE(S653, ""RO"", ""EN""), """")"),"Ns")</f>
        <v>Ns</v>
      </c>
      <c r="M653" s="5" t="str">
        <f>IFERROR(__xludf.DUMMYFUNCTION("IF(T653&lt;&gt;"""", GOOGLETRANSLATE(T653, ""RO"", ""EN""), """")"),"No.")</f>
        <v>No.</v>
      </c>
      <c r="N653" s="5" t="str">
        <f>IFERROR(__xludf.DUMMYFUNCTION("IF(Y653&lt;&gt;"""", GOOGLETRANSLATE(Y653, ""RO"", ""EN""), """")"),"")</f>
        <v/>
      </c>
      <c r="P653" s="4" t="s">
        <v>1816</v>
      </c>
      <c r="Q653" s="4" t="s">
        <v>433</v>
      </c>
      <c r="S653" s="4" t="s">
        <v>103</v>
      </c>
      <c r="T653" s="4" t="s">
        <v>104</v>
      </c>
    </row>
    <row r="654" ht="15.75" customHeight="1">
      <c r="A654" s="4" t="s">
        <v>1821</v>
      </c>
      <c r="B654" s="4" t="s">
        <v>1822</v>
      </c>
      <c r="C654" s="4" t="str">
        <f>IFERROR(__xludf.DUMMYFUNCTION("GOOGLETRANSLATE(B654, ""RO"", ""EN"")"),"... Roma / Gypsies")</f>
        <v>... Roma / Gypsies</v>
      </c>
      <c r="D654" s="5" t="str">
        <f>IFERROR(__xludf.DUMMYFUNCTION("IF(O654&lt;&gt;"""", GOOGLETRANSLATE(O654, ""RO"", ""EN""), """")"),"")</f>
        <v/>
      </c>
      <c r="E654" s="6" t="str">
        <f>IFERROR(__xludf.DUMMYFUNCTION("IF(P654&lt;&gt;"""", GOOGLETRANSLATE(P654, ""RO"", ""EN""), """")"),"YES")</f>
        <v>YES</v>
      </c>
      <c r="F654" s="5" t="str">
        <f>IFERROR(__xludf.DUMMYFUNCTION("IF(Q654&lt;&gt;"""", GOOGLETRANSLATE(Q654, ""RO"", ""EN""), """")"),"NOT")</f>
        <v>NOT</v>
      </c>
      <c r="G654" s="5" t="str">
        <f>IFERROR(__xludf.DUMMYFUNCTION("IF(R654&lt;&gt;"""", GOOGLETRANSLATE(R654, ""RO"", ""EN""), """")"),"")</f>
        <v/>
      </c>
      <c r="H654" s="5" t="str">
        <f>IFERROR(__xludf.DUMMYFUNCTION("IF(U654&lt;&gt;"""", GOOGLETRANSLATE(U654, ""RO"", ""EN""), """")"),"")</f>
        <v/>
      </c>
      <c r="I654" s="5" t="str">
        <f>IFERROR(__xludf.DUMMYFUNCTION("IF(V654&lt;&gt;"""", GOOGLETRANSLATE(V654, ""RO"", ""EN""), """")"),"")</f>
        <v/>
      </c>
      <c r="J654" s="5" t="str">
        <f>IFERROR(__xludf.DUMMYFUNCTION("IF(W654&lt;&gt;"""", GOOGLETRANSLATE(W654, ""RO"", ""EN""), """")"),"")</f>
        <v/>
      </c>
      <c r="K654" s="5" t="str">
        <f>IFERROR(__xludf.DUMMYFUNCTION("IF(X654&lt;&gt;"""", GOOGLETRANSLATE(X654, ""RO"", ""EN""), """")"),"")</f>
        <v/>
      </c>
      <c r="L654" s="5" t="str">
        <f>IFERROR(__xludf.DUMMYFUNCTION("IF(S654&lt;&gt;"""", GOOGLETRANSLATE(S654, ""RO"", ""EN""), """")"),"Ns")</f>
        <v>Ns</v>
      </c>
      <c r="M654" s="5" t="str">
        <f>IFERROR(__xludf.DUMMYFUNCTION("IF(T654&lt;&gt;"""", GOOGLETRANSLATE(T654, ""RO"", ""EN""), """")"),"No.")</f>
        <v>No.</v>
      </c>
      <c r="N654" s="5" t="str">
        <f>IFERROR(__xludf.DUMMYFUNCTION("IF(Y654&lt;&gt;"""", GOOGLETRANSLATE(Y654, ""RO"", ""EN""), """")"),"")</f>
        <v/>
      </c>
      <c r="P654" s="4" t="s">
        <v>1816</v>
      </c>
      <c r="Q654" s="4" t="s">
        <v>433</v>
      </c>
      <c r="S654" s="4" t="s">
        <v>103</v>
      </c>
      <c r="T654" s="4" t="s">
        <v>104</v>
      </c>
    </row>
    <row r="655" ht="15.75" customHeight="1">
      <c r="A655" s="4" t="s">
        <v>1823</v>
      </c>
      <c r="B655" s="4" t="s">
        <v>1824</v>
      </c>
      <c r="C655" s="4" t="str">
        <f>IFERROR(__xludf.DUMMYFUNCTION("GOOGLETRANSLATE(B655, ""RO"", ""EN"")"),"... Other ethnic minorities")</f>
        <v>... Other ethnic minorities</v>
      </c>
      <c r="D655" s="5" t="str">
        <f>IFERROR(__xludf.DUMMYFUNCTION("IF(O655&lt;&gt;"""", GOOGLETRANSLATE(O655, ""RO"", ""EN""), """")"),"")</f>
        <v/>
      </c>
      <c r="E655" s="6" t="str">
        <f>IFERROR(__xludf.DUMMYFUNCTION("IF(P655&lt;&gt;"""", GOOGLETRANSLATE(P655, ""RO"", ""EN""), """")"),"YES")</f>
        <v>YES</v>
      </c>
      <c r="F655" s="5" t="str">
        <f>IFERROR(__xludf.DUMMYFUNCTION("IF(Q655&lt;&gt;"""", GOOGLETRANSLATE(Q655, ""RO"", ""EN""), """")"),"NOT")</f>
        <v>NOT</v>
      </c>
      <c r="G655" s="5" t="str">
        <f>IFERROR(__xludf.DUMMYFUNCTION("IF(R655&lt;&gt;"""", GOOGLETRANSLATE(R655, ""RO"", ""EN""), """")"),"")</f>
        <v/>
      </c>
      <c r="H655" s="5" t="str">
        <f>IFERROR(__xludf.DUMMYFUNCTION("IF(U655&lt;&gt;"""", GOOGLETRANSLATE(U655, ""RO"", ""EN""), """")"),"")</f>
        <v/>
      </c>
      <c r="I655" s="5" t="str">
        <f>IFERROR(__xludf.DUMMYFUNCTION("IF(V655&lt;&gt;"""", GOOGLETRANSLATE(V655, ""RO"", ""EN""), """")"),"")</f>
        <v/>
      </c>
      <c r="J655" s="5" t="str">
        <f>IFERROR(__xludf.DUMMYFUNCTION("IF(W655&lt;&gt;"""", GOOGLETRANSLATE(W655, ""RO"", ""EN""), """")"),"")</f>
        <v/>
      </c>
      <c r="K655" s="5" t="str">
        <f>IFERROR(__xludf.DUMMYFUNCTION("IF(X655&lt;&gt;"""", GOOGLETRANSLATE(X655, ""RO"", ""EN""), """")"),"")</f>
        <v/>
      </c>
      <c r="L655" s="5" t="str">
        <f>IFERROR(__xludf.DUMMYFUNCTION("IF(S655&lt;&gt;"""", GOOGLETRANSLATE(S655, ""RO"", ""EN""), """")"),"Ns")</f>
        <v>Ns</v>
      </c>
      <c r="M655" s="5" t="str">
        <f>IFERROR(__xludf.DUMMYFUNCTION("IF(T655&lt;&gt;"""", GOOGLETRANSLATE(T655, ""RO"", ""EN""), """")"),"No.")</f>
        <v>No.</v>
      </c>
      <c r="N655" s="5" t="str">
        <f>IFERROR(__xludf.DUMMYFUNCTION("IF(Y655&lt;&gt;"""", GOOGLETRANSLATE(Y655, ""RO"", ""EN""), """")"),"")</f>
        <v/>
      </c>
      <c r="P655" s="4" t="s">
        <v>1816</v>
      </c>
      <c r="Q655" s="4" t="s">
        <v>433</v>
      </c>
      <c r="S655" s="4" t="s">
        <v>103</v>
      </c>
      <c r="T655" s="4" t="s">
        <v>104</v>
      </c>
    </row>
    <row r="656" ht="15.75" customHeight="1">
      <c r="A656" s="4" t="s">
        <v>1825</v>
      </c>
      <c r="B656" s="4" t="s">
        <v>1826</v>
      </c>
      <c r="C656" s="4" t="str">
        <f>IFERROR(__xludf.DUMMYFUNCTION("GOOGLETRANSLATE(B656, ""RO"", ""EN"")"),"... The people who have recently obtained Romanian citizenship")</f>
        <v>... The people who have recently obtained Romanian citizenship</v>
      </c>
      <c r="D656" s="5" t="str">
        <f>IFERROR(__xludf.DUMMYFUNCTION("IF(O656&lt;&gt;"""", GOOGLETRANSLATE(O656, ""RO"", ""EN""), """")"),"")</f>
        <v/>
      </c>
      <c r="E656" s="6" t="str">
        <f>IFERROR(__xludf.DUMMYFUNCTION("IF(P656&lt;&gt;"""", GOOGLETRANSLATE(P656, ""RO"", ""EN""), """")"),"YES")</f>
        <v>YES</v>
      </c>
      <c r="F656" s="5" t="str">
        <f>IFERROR(__xludf.DUMMYFUNCTION("IF(Q656&lt;&gt;"""", GOOGLETRANSLATE(Q656, ""RO"", ""EN""), """")"),"NOT")</f>
        <v>NOT</v>
      </c>
      <c r="G656" s="5" t="str">
        <f>IFERROR(__xludf.DUMMYFUNCTION("IF(R656&lt;&gt;"""", GOOGLETRANSLATE(R656, ""RO"", ""EN""), """")"),"")</f>
        <v/>
      </c>
      <c r="H656" s="5" t="str">
        <f>IFERROR(__xludf.DUMMYFUNCTION("IF(U656&lt;&gt;"""", GOOGLETRANSLATE(U656, ""RO"", ""EN""), """")"),"")</f>
        <v/>
      </c>
      <c r="I656" s="5" t="str">
        <f>IFERROR(__xludf.DUMMYFUNCTION("IF(V656&lt;&gt;"""", GOOGLETRANSLATE(V656, ""RO"", ""EN""), """")"),"")</f>
        <v/>
      </c>
      <c r="J656" s="5" t="str">
        <f>IFERROR(__xludf.DUMMYFUNCTION("IF(W656&lt;&gt;"""", GOOGLETRANSLATE(W656, ""RO"", ""EN""), """")"),"")</f>
        <v/>
      </c>
      <c r="K656" s="5" t="str">
        <f>IFERROR(__xludf.DUMMYFUNCTION("IF(X656&lt;&gt;"""", GOOGLETRANSLATE(X656, ""RO"", ""EN""), """")"),"")</f>
        <v/>
      </c>
      <c r="L656" s="5" t="str">
        <f>IFERROR(__xludf.DUMMYFUNCTION("IF(S656&lt;&gt;"""", GOOGLETRANSLATE(S656, ""RO"", ""EN""), """")"),"Ns")</f>
        <v>Ns</v>
      </c>
      <c r="M656" s="5" t="str">
        <f>IFERROR(__xludf.DUMMYFUNCTION("IF(T656&lt;&gt;"""", GOOGLETRANSLATE(T656, ""RO"", ""EN""), """")"),"No.")</f>
        <v>No.</v>
      </c>
      <c r="N656" s="5" t="str">
        <f>IFERROR(__xludf.DUMMYFUNCTION("IF(Y656&lt;&gt;"""", GOOGLETRANSLATE(Y656, ""RO"", ""EN""), """")"),"")</f>
        <v/>
      </c>
      <c r="P656" s="4" t="s">
        <v>1816</v>
      </c>
      <c r="Q656" s="4" t="s">
        <v>433</v>
      </c>
      <c r="S656" s="4" t="s">
        <v>103</v>
      </c>
      <c r="T656" s="4" t="s">
        <v>104</v>
      </c>
    </row>
    <row r="657" ht="15.75" customHeight="1">
      <c r="A657" s="4" t="s">
        <v>1827</v>
      </c>
      <c r="B657" s="4" t="s">
        <v>1828</v>
      </c>
      <c r="C657" s="4" t="str">
        <f>IFERROR(__xludf.DUMMYFUNCTION("GOOGLETRANSLATE(B657, ""RO"", ""EN"")"),"... homosexuals")</f>
        <v>... homosexuals</v>
      </c>
      <c r="D657" s="5" t="str">
        <f>IFERROR(__xludf.DUMMYFUNCTION("IF(O657&lt;&gt;"""", GOOGLETRANSLATE(O657, ""RO"", ""EN""), """")"),"")</f>
        <v/>
      </c>
      <c r="E657" s="6" t="str">
        <f>IFERROR(__xludf.DUMMYFUNCTION("IF(P657&lt;&gt;"""", GOOGLETRANSLATE(P657, ""RO"", ""EN""), """")"),"YES")</f>
        <v>YES</v>
      </c>
      <c r="F657" s="5" t="str">
        <f>IFERROR(__xludf.DUMMYFUNCTION("IF(Q657&lt;&gt;"""", GOOGLETRANSLATE(Q657, ""RO"", ""EN""), """")"),"NOT")</f>
        <v>NOT</v>
      </c>
      <c r="G657" s="5" t="str">
        <f>IFERROR(__xludf.DUMMYFUNCTION("IF(R657&lt;&gt;"""", GOOGLETRANSLATE(R657, ""RO"", ""EN""), """")"),"")</f>
        <v/>
      </c>
      <c r="H657" s="5" t="str">
        <f>IFERROR(__xludf.DUMMYFUNCTION("IF(U657&lt;&gt;"""", GOOGLETRANSLATE(U657, ""RO"", ""EN""), """")"),"")</f>
        <v/>
      </c>
      <c r="I657" s="5" t="str">
        <f>IFERROR(__xludf.DUMMYFUNCTION("IF(V657&lt;&gt;"""", GOOGLETRANSLATE(V657, ""RO"", ""EN""), """")"),"")</f>
        <v/>
      </c>
      <c r="J657" s="5" t="str">
        <f>IFERROR(__xludf.DUMMYFUNCTION("IF(W657&lt;&gt;"""", GOOGLETRANSLATE(W657, ""RO"", ""EN""), """")"),"")</f>
        <v/>
      </c>
      <c r="K657" s="5" t="str">
        <f>IFERROR(__xludf.DUMMYFUNCTION("IF(X657&lt;&gt;"""", GOOGLETRANSLATE(X657, ""RO"", ""EN""), """")"),"")</f>
        <v/>
      </c>
      <c r="L657" s="5" t="str">
        <f>IFERROR(__xludf.DUMMYFUNCTION("IF(S657&lt;&gt;"""", GOOGLETRANSLATE(S657, ""RO"", ""EN""), """")"),"Ns")</f>
        <v>Ns</v>
      </c>
      <c r="M657" s="5" t="str">
        <f>IFERROR(__xludf.DUMMYFUNCTION("IF(T657&lt;&gt;"""", GOOGLETRANSLATE(T657, ""RO"", ""EN""), """")"),"No.")</f>
        <v>No.</v>
      </c>
      <c r="N657" s="5" t="str">
        <f>IFERROR(__xludf.DUMMYFUNCTION("IF(Y657&lt;&gt;"""", GOOGLETRANSLATE(Y657, ""RO"", ""EN""), """")"),"")</f>
        <v/>
      </c>
      <c r="P657" s="4" t="s">
        <v>1816</v>
      </c>
      <c r="Q657" s="4" t="s">
        <v>433</v>
      </c>
      <c r="S657" s="4" t="s">
        <v>103</v>
      </c>
      <c r="T657" s="4" t="s">
        <v>104</v>
      </c>
    </row>
    <row r="658" ht="15.75" customHeight="1">
      <c r="A658" s="4" t="s">
        <v>1829</v>
      </c>
      <c r="B658" s="4" t="s">
        <v>1830</v>
      </c>
      <c r="C658" s="4" t="str">
        <f>IFERROR(__xludf.DUMMYFUNCTION("GOOGLETRANSLATE(B658, ""RO"", ""EN"")"),"... Yehova's witnesses")</f>
        <v>... Yehova's witnesses</v>
      </c>
      <c r="D658" s="5" t="str">
        <f>IFERROR(__xludf.DUMMYFUNCTION("IF(O658&lt;&gt;"""", GOOGLETRANSLATE(O658, ""RO"", ""EN""), """")"),"")</f>
        <v/>
      </c>
      <c r="E658" s="6" t="str">
        <f>IFERROR(__xludf.DUMMYFUNCTION("IF(P658&lt;&gt;"""", GOOGLETRANSLATE(P658, ""RO"", ""EN""), """")"),"YES")</f>
        <v>YES</v>
      </c>
      <c r="F658" s="5" t="str">
        <f>IFERROR(__xludf.DUMMYFUNCTION("IF(Q658&lt;&gt;"""", GOOGLETRANSLATE(Q658, ""RO"", ""EN""), """")"),"NOT")</f>
        <v>NOT</v>
      </c>
      <c r="G658" s="5" t="str">
        <f>IFERROR(__xludf.DUMMYFUNCTION("IF(R658&lt;&gt;"""", GOOGLETRANSLATE(R658, ""RO"", ""EN""), """")"),"")</f>
        <v/>
      </c>
      <c r="H658" s="5" t="str">
        <f>IFERROR(__xludf.DUMMYFUNCTION("IF(U658&lt;&gt;"""", GOOGLETRANSLATE(U658, ""RO"", ""EN""), """")"),"")</f>
        <v/>
      </c>
      <c r="I658" s="5" t="str">
        <f>IFERROR(__xludf.DUMMYFUNCTION("IF(V658&lt;&gt;"""", GOOGLETRANSLATE(V658, ""RO"", ""EN""), """")"),"")</f>
        <v/>
      </c>
      <c r="J658" s="5" t="str">
        <f>IFERROR(__xludf.DUMMYFUNCTION("IF(W658&lt;&gt;"""", GOOGLETRANSLATE(W658, ""RO"", ""EN""), """")"),"")</f>
        <v/>
      </c>
      <c r="K658" s="5" t="str">
        <f>IFERROR(__xludf.DUMMYFUNCTION("IF(X658&lt;&gt;"""", GOOGLETRANSLATE(X658, ""RO"", ""EN""), """")"),"")</f>
        <v/>
      </c>
      <c r="L658" s="5" t="str">
        <f>IFERROR(__xludf.DUMMYFUNCTION("IF(S658&lt;&gt;"""", GOOGLETRANSLATE(S658, ""RO"", ""EN""), """")"),"Ns")</f>
        <v>Ns</v>
      </c>
      <c r="M658" s="5" t="str">
        <f>IFERROR(__xludf.DUMMYFUNCTION("IF(T658&lt;&gt;"""", GOOGLETRANSLATE(T658, ""RO"", ""EN""), """")"),"No.")</f>
        <v>No.</v>
      </c>
      <c r="N658" s="5" t="str">
        <f>IFERROR(__xludf.DUMMYFUNCTION("IF(Y658&lt;&gt;"""", GOOGLETRANSLATE(Y658, ""RO"", ""EN""), """")"),"")</f>
        <v/>
      </c>
      <c r="P658" s="4" t="s">
        <v>1816</v>
      </c>
      <c r="Q658" s="4" t="s">
        <v>433</v>
      </c>
      <c r="S658" s="4" t="s">
        <v>103</v>
      </c>
      <c r="T658" s="4" t="s">
        <v>104</v>
      </c>
    </row>
    <row r="659" ht="15.75" customHeight="1">
      <c r="A659" s="4" t="s">
        <v>1831</v>
      </c>
      <c r="B659" s="4" t="s">
        <v>1832</v>
      </c>
      <c r="C659" s="4" t="str">
        <f>IFERROR(__xludf.DUMMYFUNCTION("GOOGLETRANSLATE(B659, ""RO"", ""EN"")"),"... Romanians with domicile abroad")</f>
        <v>... Romanians with domicile abroad</v>
      </c>
      <c r="D659" s="5" t="str">
        <f>IFERROR(__xludf.DUMMYFUNCTION("IF(O659&lt;&gt;"""", GOOGLETRANSLATE(O659, ""RO"", ""EN""), """")"),"")</f>
        <v/>
      </c>
      <c r="E659" s="6" t="str">
        <f>IFERROR(__xludf.DUMMYFUNCTION("IF(P659&lt;&gt;"""", GOOGLETRANSLATE(P659, ""RO"", ""EN""), """")"),"YES")</f>
        <v>YES</v>
      </c>
      <c r="F659" s="5" t="str">
        <f>IFERROR(__xludf.DUMMYFUNCTION("IF(Q659&lt;&gt;"""", GOOGLETRANSLATE(Q659, ""RO"", ""EN""), """")"),"NOT")</f>
        <v>NOT</v>
      </c>
      <c r="G659" s="5" t="str">
        <f>IFERROR(__xludf.DUMMYFUNCTION("IF(R659&lt;&gt;"""", GOOGLETRANSLATE(R659, ""RO"", ""EN""), """")"),"")</f>
        <v/>
      </c>
      <c r="H659" s="5" t="str">
        <f>IFERROR(__xludf.DUMMYFUNCTION("IF(U659&lt;&gt;"""", GOOGLETRANSLATE(U659, ""RO"", ""EN""), """")"),"")</f>
        <v/>
      </c>
      <c r="I659" s="5" t="str">
        <f>IFERROR(__xludf.DUMMYFUNCTION("IF(V659&lt;&gt;"""", GOOGLETRANSLATE(V659, ""RO"", ""EN""), """")"),"")</f>
        <v/>
      </c>
      <c r="J659" s="5" t="str">
        <f>IFERROR(__xludf.DUMMYFUNCTION("IF(W659&lt;&gt;"""", GOOGLETRANSLATE(W659, ""RO"", ""EN""), """")"),"")</f>
        <v/>
      </c>
      <c r="K659" s="5" t="str">
        <f>IFERROR(__xludf.DUMMYFUNCTION("IF(X659&lt;&gt;"""", GOOGLETRANSLATE(X659, ""RO"", ""EN""), """")"),"")</f>
        <v/>
      </c>
      <c r="L659" s="5" t="str">
        <f>IFERROR(__xludf.DUMMYFUNCTION("IF(S659&lt;&gt;"""", GOOGLETRANSLATE(S659, ""RO"", ""EN""), """")"),"Ns")</f>
        <v>Ns</v>
      </c>
      <c r="M659" s="5" t="str">
        <f>IFERROR(__xludf.DUMMYFUNCTION("IF(T659&lt;&gt;"""", GOOGLETRANSLATE(T659, ""RO"", ""EN""), """")"),"No.")</f>
        <v>No.</v>
      </c>
      <c r="N659" s="5" t="str">
        <f>IFERROR(__xludf.DUMMYFUNCTION("IF(Y659&lt;&gt;"""", GOOGLETRANSLATE(Y659, ""RO"", ""EN""), """")"),"")</f>
        <v/>
      </c>
      <c r="P659" s="4" t="s">
        <v>1816</v>
      </c>
      <c r="Q659" s="4" t="s">
        <v>433</v>
      </c>
      <c r="S659" s="4" t="s">
        <v>103</v>
      </c>
      <c r="T659" s="4" t="s">
        <v>104</v>
      </c>
    </row>
    <row r="660" ht="15.75" customHeight="1">
      <c r="A660" s="4" t="s">
        <v>1833</v>
      </c>
      <c r="B660" s="4" t="s">
        <v>1834</v>
      </c>
      <c r="C660" s="4" t="str">
        <f>IFERROR(__xludf.DUMMYFUNCTION("GOOGLETRANSLATE(B660, ""RO"", ""EN"")"),"... people who do not pay taxes")</f>
        <v>... people who do not pay taxes</v>
      </c>
      <c r="D660" s="5" t="str">
        <f>IFERROR(__xludf.DUMMYFUNCTION("IF(O660&lt;&gt;"""", GOOGLETRANSLATE(O660, ""RO"", ""EN""), """")"),"")</f>
        <v/>
      </c>
      <c r="E660" s="6" t="str">
        <f>IFERROR(__xludf.DUMMYFUNCTION("IF(P660&lt;&gt;"""", GOOGLETRANSLATE(P660, ""RO"", ""EN""), """")"),"YES")</f>
        <v>YES</v>
      </c>
      <c r="F660" s="5" t="str">
        <f>IFERROR(__xludf.DUMMYFUNCTION("IF(Q660&lt;&gt;"""", GOOGLETRANSLATE(Q660, ""RO"", ""EN""), """")"),"NOT")</f>
        <v>NOT</v>
      </c>
      <c r="G660" s="5" t="str">
        <f>IFERROR(__xludf.DUMMYFUNCTION("IF(R660&lt;&gt;"""", GOOGLETRANSLATE(R660, ""RO"", ""EN""), """")"),"")</f>
        <v/>
      </c>
      <c r="H660" s="5" t="str">
        <f>IFERROR(__xludf.DUMMYFUNCTION("IF(U660&lt;&gt;"""", GOOGLETRANSLATE(U660, ""RO"", ""EN""), """")"),"")</f>
        <v/>
      </c>
      <c r="I660" s="5" t="str">
        <f>IFERROR(__xludf.DUMMYFUNCTION("IF(V660&lt;&gt;"""", GOOGLETRANSLATE(V660, ""RO"", ""EN""), """")"),"")</f>
        <v/>
      </c>
      <c r="J660" s="5" t="str">
        <f>IFERROR(__xludf.DUMMYFUNCTION("IF(W660&lt;&gt;"""", GOOGLETRANSLATE(W660, ""RO"", ""EN""), """")"),"")</f>
        <v/>
      </c>
      <c r="K660" s="5" t="str">
        <f>IFERROR(__xludf.DUMMYFUNCTION("IF(X660&lt;&gt;"""", GOOGLETRANSLATE(X660, ""RO"", ""EN""), """")"),"")</f>
        <v/>
      </c>
      <c r="L660" s="5" t="str">
        <f>IFERROR(__xludf.DUMMYFUNCTION("IF(S660&lt;&gt;"""", GOOGLETRANSLATE(S660, ""RO"", ""EN""), """")"),"Ns")</f>
        <v>Ns</v>
      </c>
      <c r="M660" s="5" t="str">
        <f>IFERROR(__xludf.DUMMYFUNCTION("IF(T660&lt;&gt;"""", GOOGLETRANSLATE(T660, ""RO"", ""EN""), """")"),"No.")</f>
        <v>No.</v>
      </c>
      <c r="N660" s="5" t="str">
        <f>IFERROR(__xludf.DUMMYFUNCTION("IF(Y660&lt;&gt;"""", GOOGLETRANSLATE(Y660, ""RO"", ""EN""), """")"),"")</f>
        <v/>
      </c>
      <c r="P660" s="4" t="s">
        <v>1816</v>
      </c>
      <c r="Q660" s="4" t="s">
        <v>433</v>
      </c>
      <c r="S660" s="4" t="s">
        <v>103</v>
      </c>
      <c r="T660" s="4" t="s">
        <v>104</v>
      </c>
    </row>
    <row r="661" ht="15.75" customHeight="1">
      <c r="A661" s="4" t="s">
        <v>1835</v>
      </c>
      <c r="B661" s="4" t="s">
        <v>1836</v>
      </c>
      <c r="C661" s="4" t="str">
        <f>IFERROR(__xludf.DUMMYFUNCTION("GOOGLETRANSLATE(B661, ""RO"", ""EN"")"),"Do you feel first of all ...?")</f>
        <v>Do you feel first of all ...?</v>
      </c>
      <c r="D661" s="5" t="str">
        <f>IFERROR(__xludf.DUMMYFUNCTION("IF(O661&lt;&gt;"""", GOOGLETRANSLATE(O661, ""RO"", ""EN""), """")"),"")</f>
        <v/>
      </c>
      <c r="E661" s="6" t="str">
        <f>IFERROR(__xludf.DUMMYFUNCTION("IF(P661&lt;&gt;"""", GOOGLETRANSLATE(P661, ""RO"", ""EN""), """")"),"inhabitant of your locality")</f>
        <v>inhabitant of your locality</v>
      </c>
      <c r="F661" s="5" t="str">
        <f>IFERROR(__xludf.DUMMYFUNCTION("IF(Q661&lt;&gt;"""", GOOGLETRANSLATE(Q661, ""RO"", ""EN""), """")"),"Resident of the region (Ardeal, Moldova, etc.)")</f>
        <v>Resident of the region (Ardeal, Moldova, etc.)</v>
      </c>
      <c r="G661" s="5" t="str">
        <f>IFERROR(__xludf.DUMMYFUNCTION("IF(R661&lt;&gt;"""", GOOGLETRANSLATE(R661, ""RO"", ""EN""), """")"),"Romanian")</f>
        <v>Romanian</v>
      </c>
      <c r="H661" s="5" t="str">
        <f>IFERROR(__xludf.DUMMYFUNCTION("IF(U661&lt;&gt;"""", GOOGLETRANSLATE(U661, ""RO"", ""EN""), """")"),"European")</f>
        <v>European</v>
      </c>
      <c r="I661" s="5" t="str">
        <f>IFERROR(__xludf.DUMMYFUNCTION("IF(V661&lt;&gt;"""", GOOGLETRANSLATE(V661, ""RO"", ""EN""), """")"),"inhabitant of the world")</f>
        <v>inhabitant of the world</v>
      </c>
      <c r="J661" s="5" t="str">
        <f>IFERROR(__xludf.DUMMYFUNCTION("IF(W661&lt;&gt;"""", GOOGLETRANSLATE(W661, ""RO"", ""EN""), """")"),"")</f>
        <v/>
      </c>
      <c r="K661" s="5" t="str">
        <f>IFERROR(__xludf.DUMMYFUNCTION("IF(X661&lt;&gt;"""", GOOGLETRANSLATE(X661, ""RO"", ""EN""), """")"),"")</f>
        <v/>
      </c>
      <c r="L661" s="5" t="str">
        <f>IFERROR(__xludf.DUMMYFUNCTION("IF(S661&lt;&gt;"""", GOOGLETRANSLATE(S661, ""RO"", ""EN""), """")"),"Ns")</f>
        <v>Ns</v>
      </c>
      <c r="M661" s="5" t="str">
        <f>IFERROR(__xludf.DUMMYFUNCTION("IF(T661&lt;&gt;"""", GOOGLETRANSLATE(T661, ""RO"", ""EN""), """")"),"No.")</f>
        <v>No.</v>
      </c>
      <c r="N661" s="5" t="str">
        <f>IFERROR(__xludf.DUMMYFUNCTION("IF(Y661&lt;&gt;"""", GOOGLETRANSLATE(Y661, ""RO"", ""EN""), """")"),"")</f>
        <v/>
      </c>
      <c r="P661" s="4" t="s">
        <v>1837</v>
      </c>
      <c r="Q661" s="4" t="s">
        <v>1838</v>
      </c>
      <c r="R661" s="4" t="s">
        <v>1839</v>
      </c>
      <c r="S661" s="4" t="s">
        <v>103</v>
      </c>
      <c r="T661" s="4" t="s">
        <v>104</v>
      </c>
      <c r="U661" s="4" t="s">
        <v>1840</v>
      </c>
      <c r="V661" s="4" t="s">
        <v>1841</v>
      </c>
    </row>
    <row r="662" ht="15.75" customHeight="1">
      <c r="A662" s="4" t="s">
        <v>1842</v>
      </c>
      <c r="B662" s="4" t="s">
        <v>1843</v>
      </c>
      <c r="C662" s="4" t="str">
        <f>IFERROR(__xludf.DUMMYFUNCTION("GOOGLETRANSLATE(B662, ""RO"", ""EN"")"),"But secondly?")</f>
        <v>But secondly?</v>
      </c>
      <c r="D662" s="5" t="str">
        <f>IFERROR(__xludf.DUMMYFUNCTION("IF(O662&lt;&gt;"""", GOOGLETRANSLATE(O662, ""RO"", ""EN""), """")"),"")</f>
        <v/>
      </c>
      <c r="E662" s="6" t="str">
        <f>IFERROR(__xludf.DUMMYFUNCTION("IF(P662&lt;&gt;"""", GOOGLETRANSLATE(P662, ""RO"", ""EN""), """")"),"inhabitant of your locality")</f>
        <v>inhabitant of your locality</v>
      </c>
      <c r="F662" s="5" t="str">
        <f>IFERROR(__xludf.DUMMYFUNCTION("IF(Q662&lt;&gt;"""", GOOGLETRANSLATE(Q662, ""RO"", ""EN""), """")"),"Resident of the region (Ardeal, Moldova, etc.)")</f>
        <v>Resident of the region (Ardeal, Moldova, etc.)</v>
      </c>
      <c r="G662" s="5" t="str">
        <f>IFERROR(__xludf.DUMMYFUNCTION("IF(R662&lt;&gt;"""", GOOGLETRANSLATE(R662, ""RO"", ""EN""), """")"),"Romanian")</f>
        <v>Romanian</v>
      </c>
      <c r="H662" s="5" t="str">
        <f>IFERROR(__xludf.DUMMYFUNCTION("IF(U662&lt;&gt;"""", GOOGLETRANSLATE(U662, ""RO"", ""EN""), """")"),"European")</f>
        <v>European</v>
      </c>
      <c r="I662" s="5" t="str">
        <f>IFERROR(__xludf.DUMMYFUNCTION("IF(V662&lt;&gt;"""", GOOGLETRANSLATE(V662, ""RO"", ""EN""), """")"),"inhabitant of the world")</f>
        <v>inhabitant of the world</v>
      </c>
      <c r="J662" s="5" t="str">
        <f>IFERROR(__xludf.DUMMYFUNCTION("IF(W662&lt;&gt;"""", GOOGLETRANSLATE(W662, ""RO"", ""EN""), """")"),"")</f>
        <v/>
      </c>
      <c r="K662" s="5" t="str">
        <f>IFERROR(__xludf.DUMMYFUNCTION("IF(X662&lt;&gt;"""", GOOGLETRANSLATE(X662, ""RO"", ""EN""), """")"),"")</f>
        <v/>
      </c>
      <c r="L662" s="5" t="str">
        <f>IFERROR(__xludf.DUMMYFUNCTION("IF(S662&lt;&gt;"""", GOOGLETRANSLATE(S662, ""RO"", ""EN""), """")"),"Ns")</f>
        <v>Ns</v>
      </c>
      <c r="M662" s="5" t="str">
        <f>IFERROR(__xludf.DUMMYFUNCTION("IF(T662&lt;&gt;"""", GOOGLETRANSLATE(T662, ""RO"", ""EN""), """")"),"No.")</f>
        <v>No.</v>
      </c>
      <c r="N662" s="5" t="str">
        <f>IFERROR(__xludf.DUMMYFUNCTION("IF(Y662&lt;&gt;"""", GOOGLETRANSLATE(Y662, ""RO"", ""EN""), """")"),"")</f>
        <v/>
      </c>
      <c r="P662" s="4" t="s">
        <v>1837</v>
      </c>
      <c r="Q662" s="4" t="s">
        <v>1838</v>
      </c>
      <c r="R662" s="4" t="s">
        <v>1839</v>
      </c>
      <c r="S662" s="4" t="s">
        <v>103</v>
      </c>
      <c r="T662" s="4" t="s">
        <v>104</v>
      </c>
      <c r="U662" s="4" t="s">
        <v>1840</v>
      </c>
      <c r="V662" s="4" t="s">
        <v>1841</v>
      </c>
    </row>
    <row r="663" ht="15.75" customHeight="1">
      <c r="A663" s="4" t="s">
        <v>1844</v>
      </c>
      <c r="B663" s="4" t="s">
        <v>732</v>
      </c>
      <c r="C663" s="4" t="str">
        <f>IFERROR(__xludf.DUMMYFUNCTION("GOOGLETRANSLATE(B663, ""RO"", ""EN"")"),"The genre of the respondent")</f>
        <v>The genre of the respondent</v>
      </c>
      <c r="D663" s="5" t="str">
        <f>IFERROR(__xludf.DUMMYFUNCTION("IF(O663&lt;&gt;"""", GOOGLETRANSLATE(O663, ""RO"", ""EN""), """")"),"")</f>
        <v/>
      </c>
      <c r="E663" s="6" t="str">
        <f>IFERROR(__xludf.DUMMYFUNCTION("IF(P663&lt;&gt;"""", GOOGLETRANSLATE(P663, ""RO"", ""EN""), """")"),"Man")</f>
        <v>Man</v>
      </c>
      <c r="F663" s="5" t="str">
        <f>IFERROR(__xludf.DUMMYFUNCTION("IF(Q663&lt;&gt;"""", GOOGLETRANSLATE(Q663, ""RO"", ""EN""), """")"),"Woman")</f>
        <v>Woman</v>
      </c>
      <c r="G663" s="5" t="str">
        <f>IFERROR(__xludf.DUMMYFUNCTION("IF(R663&lt;&gt;"""", GOOGLETRANSLATE(R663, ""RO"", ""EN""), """")"),"")</f>
        <v/>
      </c>
      <c r="H663" s="5" t="str">
        <f>IFERROR(__xludf.DUMMYFUNCTION("IF(U663&lt;&gt;"""", GOOGLETRANSLATE(U663, ""RO"", ""EN""), """")"),"")</f>
        <v/>
      </c>
      <c r="I663" s="5" t="str">
        <f>IFERROR(__xludf.DUMMYFUNCTION("IF(V663&lt;&gt;"""", GOOGLETRANSLATE(V663, ""RO"", ""EN""), """")"),"")</f>
        <v/>
      </c>
      <c r="J663" s="5" t="str">
        <f>IFERROR(__xludf.DUMMYFUNCTION("IF(W663&lt;&gt;"""", GOOGLETRANSLATE(W663, ""RO"", ""EN""), """")"),"")</f>
        <v/>
      </c>
      <c r="K663" s="5" t="str">
        <f>IFERROR(__xludf.DUMMYFUNCTION("IF(X663&lt;&gt;"""", GOOGLETRANSLATE(X663, ""RO"", ""EN""), """")"),"")</f>
        <v/>
      </c>
      <c r="L663" s="5" t="str">
        <f>IFERROR(__xludf.DUMMYFUNCTION("IF(S663&lt;&gt;"""", GOOGLETRANSLATE(S663, ""RO"", ""EN""), """")"),"")</f>
        <v/>
      </c>
      <c r="M663" s="5" t="str">
        <f>IFERROR(__xludf.DUMMYFUNCTION("IF(T663&lt;&gt;"""", GOOGLETRANSLATE(T663, ""RO"", ""EN""), """")"),"")</f>
        <v/>
      </c>
      <c r="N663" s="5" t="str">
        <f>IFERROR(__xludf.DUMMYFUNCTION("IF(Y663&lt;&gt;"""", GOOGLETRANSLATE(Y663, ""RO"", ""EN""), """")"),"")</f>
        <v/>
      </c>
      <c r="P663" s="4" t="s">
        <v>733</v>
      </c>
      <c r="Q663" s="4" t="s">
        <v>734</v>
      </c>
    </row>
    <row r="664" ht="15.75" customHeight="1">
      <c r="A664" s="4" t="s">
        <v>1845</v>
      </c>
      <c r="B664" s="4" t="s">
        <v>1846</v>
      </c>
      <c r="C664" s="4" t="str">
        <f>IFERROR(__xludf.DUMMYFUNCTION("GOOGLETRANSLATE(B664, ""RO"", ""EN"")"),"What year did you give birth to?")</f>
        <v>What year did you give birth to?</v>
      </c>
      <c r="D664" s="5" t="str">
        <f>IFERROR(__xludf.DUMMYFUNCTION("IF(O664&lt;&gt;"""", GOOGLETRANSLATE(O664, ""RO"", ""EN""), """")"),"NS/no")</f>
        <v>NS/no</v>
      </c>
      <c r="E664" s="6" t="str">
        <f>IFERROR(__xludf.DUMMYFUNCTION("IF(P664&lt;&gt;"""", GOOGLETRANSLATE(P664, ""RO"", ""EN""), """")"),"")</f>
        <v/>
      </c>
      <c r="F664" s="5" t="str">
        <f>IFERROR(__xludf.DUMMYFUNCTION("IF(Q664&lt;&gt;"""", GOOGLETRANSLATE(Q664, ""RO"", ""EN""), """")"),"")</f>
        <v/>
      </c>
      <c r="G664" s="5" t="str">
        <f>IFERROR(__xludf.DUMMYFUNCTION("IF(R664&lt;&gt;"""", GOOGLETRANSLATE(R664, ""RO"", ""EN""), """")"),"")</f>
        <v/>
      </c>
      <c r="H664" s="5" t="str">
        <f>IFERROR(__xludf.DUMMYFUNCTION("IF(U664&lt;&gt;"""", GOOGLETRANSLATE(U664, ""RO"", ""EN""), """")"),"")</f>
        <v/>
      </c>
      <c r="I664" s="5" t="str">
        <f>IFERROR(__xludf.DUMMYFUNCTION("IF(V664&lt;&gt;"""", GOOGLETRANSLATE(V664, ""RO"", ""EN""), """")"),"")</f>
        <v/>
      </c>
      <c r="J664" s="5" t="str">
        <f>IFERROR(__xludf.DUMMYFUNCTION("IF(W664&lt;&gt;"""", GOOGLETRANSLATE(W664, ""RO"", ""EN""), """")"),"")</f>
        <v/>
      </c>
      <c r="K664" s="5" t="str">
        <f>IFERROR(__xludf.DUMMYFUNCTION("IF(X664&lt;&gt;"""", GOOGLETRANSLATE(X664, ""RO"", ""EN""), """")"),"")</f>
        <v/>
      </c>
      <c r="L664" s="5" t="str">
        <f>IFERROR(__xludf.DUMMYFUNCTION("IF(S664&lt;&gt;"""", GOOGLETRANSLATE(S664, ""RO"", ""EN""), """")"),"")</f>
        <v/>
      </c>
      <c r="M664" s="5" t="str">
        <f>IFERROR(__xludf.DUMMYFUNCTION("IF(T664&lt;&gt;"""", GOOGLETRANSLATE(T664, ""RO"", ""EN""), """")"),"")</f>
        <v/>
      </c>
      <c r="N664" s="5" t="str">
        <f>IFERROR(__xludf.DUMMYFUNCTION("IF(Y664&lt;&gt;"""", GOOGLETRANSLATE(Y664, ""RO"", ""EN""), """")"),"")</f>
        <v/>
      </c>
      <c r="O664" s="4" t="s">
        <v>1847</v>
      </c>
    </row>
    <row r="665" ht="15.75" customHeight="1">
      <c r="A665" s="4" t="s">
        <v>1848</v>
      </c>
      <c r="B665" s="4" t="s">
        <v>1849</v>
      </c>
      <c r="C665" s="4" t="str">
        <f>IFERROR(__xludf.DUMMYFUNCTION("GOOGLETRANSLATE(B665, ""RO"", ""EN"")"),"What is the highest level of education touched by you?")</f>
        <v>What is the highest level of education touched by you?</v>
      </c>
      <c r="D665" s="5" t="str">
        <f>IFERROR(__xludf.DUMMYFUNCTION("IF(O665&lt;&gt;"""", GOOGLETRANSLATE(O665, ""RO"", ""EN""), """")"),"")</f>
        <v/>
      </c>
      <c r="E665" s="6" t="str">
        <f>IFERROR(__xludf.DUMMYFUNCTION("IF(P665&lt;&gt;"""", GOOGLETRANSLATE(P665, ""RO"", ""EN""), """")"),"without school")</f>
        <v>without school</v>
      </c>
      <c r="F665" s="5" t="str">
        <f>IFERROR(__xludf.DUMMYFUNCTION("IF(Q665&lt;&gt;"""", GOOGLETRANSLATE(Q665, ""RO"", ""EN""), """")"),"unfinished primary school")</f>
        <v>unfinished primary school</v>
      </c>
      <c r="G665" s="5" t="str">
        <f>IFERROR(__xludf.DUMMYFUNCTION("IF(R665&lt;&gt;"""", GOOGLETRANSLATE(R665, ""RO"", ""EN""), """")"),"the finished primary school")</f>
        <v>the finished primary school</v>
      </c>
      <c r="H665" s="5" t="str">
        <f>IFERROR(__xludf.DUMMYFUNCTION("IF(U665&lt;&gt;"""", GOOGLETRANSLATE(U665, ""RO"", ""EN""), """")"),"incomplete gymnasium")</f>
        <v>incomplete gymnasium</v>
      </c>
      <c r="I665" s="5" t="str">
        <f>IFERROR(__xludf.DUMMYFUNCTION("IF(V665&lt;&gt;"""", GOOGLETRANSLATE(V665, ""RO"", ""EN""), """")"),"complete gymnasium")</f>
        <v>complete gymnasium</v>
      </c>
      <c r="J665" s="5" t="str">
        <f>IFERROR(__xludf.DUMMYFUNCTION("IF(W665&lt;&gt;"""", GOOGLETRANSLATE(W665, ""RO"", ""EN""), """")"),"School of apprentices (complementary)")</f>
        <v>School of apprentices (complementary)</v>
      </c>
      <c r="K665" s="5" t="str">
        <f>IFERROR(__xludf.DUMMYFUNCTION("IF(X665&lt;&gt;"""", GOOGLETRANSLATE(X665, ""RO"", ""EN""), """")"),"vocational school")</f>
        <v>vocational school</v>
      </c>
      <c r="L665" s="5" t="str">
        <f>IFERROR(__xludf.DUMMYFUNCTION("IF(S665&lt;&gt;"""", GOOGLETRANSLATE(S665, ""RO"", ""EN""), """")"),"unfinished high school")</f>
        <v>unfinished high school</v>
      </c>
      <c r="M665" s="5" t="str">
        <f>IFERROR(__xludf.DUMMYFUNCTION("IF(T665&lt;&gt;"""", GOOGLETRANSLATE(T665, ""RO"", ""EN""), """")"),"Finished high school")</f>
        <v>Finished high school</v>
      </c>
      <c r="N665" s="5" t="str">
        <f>IFERROR(__xludf.DUMMYFUNCTION("IF(Y665&lt;&gt;"""", GOOGLETRANSLATE(Y665, ""RO"", ""EN""), """")"),"the school of Mistri")</f>
        <v>the school of Mistri</v>
      </c>
      <c r="P665" s="4" t="s">
        <v>742</v>
      </c>
      <c r="Q665" s="4" t="s">
        <v>743</v>
      </c>
      <c r="R665" s="4" t="s">
        <v>744</v>
      </c>
      <c r="S665" s="4" t="s">
        <v>745</v>
      </c>
      <c r="T665" s="4" t="s">
        <v>746</v>
      </c>
      <c r="U665" s="4" t="s">
        <v>747</v>
      </c>
      <c r="V665" s="4" t="s">
        <v>748</v>
      </c>
      <c r="W665" s="4" t="s">
        <v>749</v>
      </c>
      <c r="X665" s="4" t="s">
        <v>750</v>
      </c>
      <c r="Y665" s="4" t="s">
        <v>1850</v>
      </c>
      <c r="Z665" s="4" t="s">
        <v>177</v>
      </c>
      <c r="AA665" s="4" t="s">
        <v>103</v>
      </c>
      <c r="AB665" s="4" t="s">
        <v>104</v>
      </c>
      <c r="AH665" s="4" t="s">
        <v>751</v>
      </c>
      <c r="AI665" s="4" t="s">
        <v>752</v>
      </c>
      <c r="AJ665" s="4" t="s">
        <v>753</v>
      </c>
      <c r="AK665" s="4" t="s">
        <v>754</v>
      </c>
      <c r="AL665" s="4" t="s">
        <v>755</v>
      </c>
      <c r="AM665" s="4" t="s">
        <v>756</v>
      </c>
    </row>
    <row r="666" ht="15.75" customHeight="1">
      <c r="A666" s="4" t="s">
        <v>1851</v>
      </c>
      <c r="B666" s="4" t="s">
        <v>1852</v>
      </c>
      <c r="C666" s="4" t="str">
        <f>IFERROR(__xludf.DUMMYFUNCTION("GOOGLETRANSLATE(B666, ""RO"", ""EN"")"),"What is the highest level of education touched by your partner?")</f>
        <v>What is the highest level of education touched by your partner?</v>
      </c>
      <c r="D666" s="5" t="str">
        <f>IFERROR(__xludf.DUMMYFUNCTION("IF(O666&lt;&gt;"""", GOOGLETRANSLATE(O666, ""RO"", ""EN""), """")"),"")</f>
        <v/>
      </c>
      <c r="E666" s="6" t="str">
        <f>IFERROR(__xludf.DUMMYFUNCTION("IF(P666&lt;&gt;"""", GOOGLETRANSLATE(P666, ""RO"", ""EN""), """")"),"without school")</f>
        <v>without school</v>
      </c>
      <c r="F666" s="5" t="str">
        <f>IFERROR(__xludf.DUMMYFUNCTION("IF(Q666&lt;&gt;"""", GOOGLETRANSLATE(Q666, ""RO"", ""EN""), """")"),"unfinished primary school")</f>
        <v>unfinished primary school</v>
      </c>
      <c r="G666" s="5" t="str">
        <f>IFERROR(__xludf.DUMMYFUNCTION("IF(R666&lt;&gt;"""", GOOGLETRANSLATE(R666, ""RO"", ""EN""), """")"),"the finished primary school")</f>
        <v>the finished primary school</v>
      </c>
      <c r="H666" s="5" t="str">
        <f>IFERROR(__xludf.DUMMYFUNCTION("IF(U666&lt;&gt;"""", GOOGLETRANSLATE(U666, ""RO"", ""EN""), """")"),"incomplete gymnasium")</f>
        <v>incomplete gymnasium</v>
      </c>
      <c r="I666" s="5" t="str">
        <f>IFERROR(__xludf.DUMMYFUNCTION("IF(V666&lt;&gt;"""", GOOGLETRANSLATE(V666, ""RO"", ""EN""), """")"),"complete gymnasium")</f>
        <v>complete gymnasium</v>
      </c>
      <c r="J666" s="5" t="str">
        <f>IFERROR(__xludf.DUMMYFUNCTION("IF(W666&lt;&gt;"""", GOOGLETRANSLATE(W666, ""RO"", ""EN""), """")"),"School of apprentices (complementary)")</f>
        <v>School of apprentices (complementary)</v>
      </c>
      <c r="K666" s="5" t="str">
        <f>IFERROR(__xludf.DUMMYFUNCTION("IF(X666&lt;&gt;"""", GOOGLETRANSLATE(X666, ""RO"", ""EN""), """")"),"vocational school")</f>
        <v>vocational school</v>
      </c>
      <c r="L666" s="5" t="str">
        <f>IFERROR(__xludf.DUMMYFUNCTION("IF(S666&lt;&gt;"""", GOOGLETRANSLATE(S666, ""RO"", ""EN""), """")"),"unfinished high school")</f>
        <v>unfinished high school</v>
      </c>
      <c r="M666" s="5" t="str">
        <f>IFERROR(__xludf.DUMMYFUNCTION("IF(T666&lt;&gt;"""", GOOGLETRANSLATE(T666, ""RO"", ""EN""), """")"),"Finished high school")</f>
        <v>Finished high school</v>
      </c>
      <c r="N666" s="5" t="str">
        <f>IFERROR(__xludf.DUMMYFUNCTION("IF(Y666&lt;&gt;"""", GOOGLETRANSLATE(Y666, ""RO"", ""EN""), """")"),"the school of Mistri")</f>
        <v>the school of Mistri</v>
      </c>
      <c r="P666" s="4" t="s">
        <v>742</v>
      </c>
      <c r="Q666" s="4" t="s">
        <v>743</v>
      </c>
      <c r="R666" s="4" t="s">
        <v>744</v>
      </c>
      <c r="S666" s="4" t="s">
        <v>745</v>
      </c>
      <c r="T666" s="4" t="s">
        <v>746</v>
      </c>
      <c r="U666" s="4" t="s">
        <v>747</v>
      </c>
      <c r="V666" s="4" t="s">
        <v>748</v>
      </c>
      <c r="W666" s="4" t="s">
        <v>749</v>
      </c>
      <c r="X666" s="4" t="s">
        <v>750</v>
      </c>
      <c r="Y666" s="4" t="s">
        <v>1850</v>
      </c>
      <c r="Z666" s="4" t="s">
        <v>177</v>
      </c>
      <c r="AA666" s="4" t="s">
        <v>103</v>
      </c>
      <c r="AB666" s="4" t="s">
        <v>104</v>
      </c>
      <c r="AH666" s="4" t="s">
        <v>751</v>
      </c>
      <c r="AI666" s="4" t="s">
        <v>752</v>
      </c>
      <c r="AJ666" s="4" t="s">
        <v>753</v>
      </c>
      <c r="AK666" s="4" t="s">
        <v>754</v>
      </c>
      <c r="AL666" s="4" t="s">
        <v>755</v>
      </c>
      <c r="AM666" s="4" t="s">
        <v>756</v>
      </c>
    </row>
    <row r="667" ht="15.75" customHeight="1">
      <c r="A667" s="4" t="s">
        <v>1853</v>
      </c>
      <c r="B667" s="4" t="s">
        <v>1854</v>
      </c>
      <c r="C667" s="4" t="str">
        <f>IFERROR(__xludf.DUMMYFUNCTION("GOOGLETRANSLATE(B667, ""RO"", ""EN"")"),"Are you currently ...?")</f>
        <v>Are you currently ...?</v>
      </c>
      <c r="D667" s="5" t="str">
        <f>IFERROR(__xludf.DUMMYFUNCTION("IF(O667&lt;&gt;"""", GOOGLETRANSLATE(O667, ""RO"", ""EN""), """")"),"")</f>
        <v/>
      </c>
      <c r="E667" s="6" t="str">
        <f>IFERROR(__xludf.DUMMYFUNCTION("IF(P667&lt;&gt;"""", GOOGLETRANSLATE(P667, ""RO"", ""EN""), """")"),"employee full -time (30 hours per week or more)")</f>
        <v>employee full -time (30 hours per week or more)</v>
      </c>
      <c r="F667" s="5" t="str">
        <f>IFERROR(__xludf.DUMMYFUNCTION("IF(Q667&lt;&gt;"""", GOOGLETRANSLATE(Q667, ""RO"", ""EN""), """")"),"employee with partial norm (15-30 hours / week)")</f>
        <v>employee with partial norm (15-30 hours / week)</v>
      </c>
      <c r="G667" s="5" t="str">
        <f>IFERROR(__xludf.DUMMYFUNCTION("IF(R667&lt;&gt;"""", GOOGLETRANSLATE(R667, ""RO"", ""EN""), """")"),"Employed with partial norm (under 15 hours / week)")</f>
        <v>Employed with partial norm (under 15 hours / week)</v>
      </c>
      <c r="H667" s="5" t="str">
        <f>IFERROR(__xludf.DUMMYFUNCTION("IF(U667&lt;&gt;"""", GOOGLETRANSLATE(U667, ""RO"", ""EN""), """")"),"Help another family member")</f>
        <v>Help another family member</v>
      </c>
      <c r="I667" s="5" t="str">
        <f>IFERROR(__xludf.DUMMYFUNCTION("IF(V667&lt;&gt;"""", GOOGLETRANSLATE(V667, ""RO"", ""EN""), """")"),"entrepreneur on your own, including farmer/farmer,")</f>
        <v>entrepreneur on your own, including farmer/farmer,</v>
      </c>
      <c r="J667" s="5" t="str">
        <f>IFERROR(__xludf.DUMMYFUNCTION("IF(W667&lt;&gt;"""", GOOGLETRANSLATE(W667, ""RO"", ""EN""), """")"),"free professional (doctor, lawyer, notary)")</f>
        <v>free professional (doctor, lawyer, notary)</v>
      </c>
      <c r="K667" s="5" t="str">
        <f>IFERROR(__xludf.DUMMYFUNCTION("IF(X667&lt;&gt;"""", GOOGLETRANSLATE(X667, ""RO"", ""EN""), """")"),"in unemployment (including technical unemployment)")</f>
        <v>in unemployment (including technical unemployment)</v>
      </c>
      <c r="L667" s="5" t="str">
        <f>IFERROR(__xludf.DUMMYFUNCTION("IF(S667&lt;&gt;"""", GOOGLETRANSLATE(S667, ""RO"", ""EN""), """")"),"student / student")</f>
        <v>student / student</v>
      </c>
      <c r="M667" s="5" t="str">
        <f>IFERROR(__xludf.DUMMYFUNCTION("IF(T667&lt;&gt;"""", GOOGLETRANSLATE(T667, ""RO"", ""EN""), """")"),"retired")</f>
        <v>retired</v>
      </c>
      <c r="N667" s="5" t="str">
        <f>IFERROR(__xludf.DUMMYFUNCTION("IF(Y667&lt;&gt;"""", GOOGLETRANSLATE(Y667, ""RO"", ""EN""), """")"),"You are housewife or work all the time in the household, you have")</f>
        <v>You are housewife or work all the time in the household, you have</v>
      </c>
      <c r="P667" s="4" t="s">
        <v>1855</v>
      </c>
      <c r="Q667" s="4" t="s">
        <v>1856</v>
      </c>
      <c r="R667" s="4" t="s">
        <v>1857</v>
      </c>
      <c r="S667" s="4" t="s">
        <v>1858</v>
      </c>
      <c r="T667" s="4" t="s">
        <v>1859</v>
      </c>
      <c r="U667" s="4" t="s">
        <v>1860</v>
      </c>
      <c r="V667" s="4" t="s">
        <v>1861</v>
      </c>
      <c r="W667" s="4" t="s">
        <v>1862</v>
      </c>
      <c r="X667" s="4" t="s">
        <v>764</v>
      </c>
      <c r="Y667" s="4" t="s">
        <v>1863</v>
      </c>
      <c r="Z667" s="4" t="s">
        <v>177</v>
      </c>
      <c r="AA667" s="4" t="s">
        <v>103</v>
      </c>
      <c r="AB667" s="4" t="s">
        <v>104</v>
      </c>
      <c r="AH667" s="4" t="s">
        <v>1864</v>
      </c>
      <c r="AI667" s="4" t="s">
        <v>776</v>
      </c>
    </row>
    <row r="668" ht="15.75" customHeight="1">
      <c r="A668" s="4" t="s">
        <v>1865</v>
      </c>
      <c r="B668" s="4" t="s">
        <v>1866</v>
      </c>
      <c r="C668" s="4" t="str">
        <f>IFERROR(__xludf.DUMMYFUNCTION("GOOGLETRANSLATE(B668, ""RO"", ""EN"")"),"But your partner (s)?")</f>
        <v>But your partner (s)?</v>
      </c>
      <c r="D668" s="5" t="str">
        <f>IFERROR(__xludf.DUMMYFUNCTION("IF(O668&lt;&gt;"""", GOOGLETRANSLATE(O668, ""RO"", ""EN""), """")"),"")</f>
        <v/>
      </c>
      <c r="E668" s="6" t="str">
        <f>IFERROR(__xludf.DUMMYFUNCTION("IF(P668&lt;&gt;"""", GOOGLETRANSLATE(P668, ""RO"", ""EN""), """")"),"employee full -time (30 hours per week or more)")</f>
        <v>employee full -time (30 hours per week or more)</v>
      </c>
      <c r="F668" s="5" t="str">
        <f>IFERROR(__xludf.DUMMYFUNCTION("IF(Q668&lt;&gt;"""", GOOGLETRANSLATE(Q668, ""RO"", ""EN""), """")"),"employee with partial norm (15-30 hours / week)")</f>
        <v>employee with partial norm (15-30 hours / week)</v>
      </c>
      <c r="G668" s="5" t="str">
        <f>IFERROR(__xludf.DUMMYFUNCTION("IF(R668&lt;&gt;"""", GOOGLETRANSLATE(R668, ""RO"", ""EN""), """")"),"Employed with partial norm (under 15 hours / week)")</f>
        <v>Employed with partial norm (under 15 hours / week)</v>
      </c>
      <c r="H668" s="5" t="str">
        <f>IFERROR(__xludf.DUMMYFUNCTION("IF(U668&lt;&gt;"""", GOOGLETRANSLATE(U668, ""RO"", ""EN""), """")"),"Help another family member")</f>
        <v>Help another family member</v>
      </c>
      <c r="I668" s="5" t="str">
        <f>IFERROR(__xludf.DUMMYFUNCTION("IF(V668&lt;&gt;"""", GOOGLETRANSLATE(V668, ""RO"", ""EN""), """")"),"entrepreneur on your own, including farmer/farmer,")</f>
        <v>entrepreneur on your own, including farmer/farmer,</v>
      </c>
      <c r="J668" s="5" t="str">
        <f>IFERROR(__xludf.DUMMYFUNCTION("IF(W668&lt;&gt;"""", GOOGLETRANSLATE(W668, ""RO"", ""EN""), """")"),"free professional (doctor, lawyer, notary)")</f>
        <v>free professional (doctor, lawyer, notary)</v>
      </c>
      <c r="K668" s="5" t="str">
        <f>IFERROR(__xludf.DUMMYFUNCTION("IF(X668&lt;&gt;"""", GOOGLETRANSLATE(X668, ""RO"", ""EN""), """")"),"in unemployment (including technical unemployment)")</f>
        <v>in unemployment (including technical unemployment)</v>
      </c>
      <c r="L668" s="5" t="str">
        <f>IFERROR(__xludf.DUMMYFUNCTION("IF(S668&lt;&gt;"""", GOOGLETRANSLATE(S668, ""RO"", ""EN""), """")"),"student / student")</f>
        <v>student / student</v>
      </c>
      <c r="M668" s="5" t="str">
        <f>IFERROR(__xludf.DUMMYFUNCTION("IF(T668&lt;&gt;"""", GOOGLETRANSLATE(T668, ""RO"", ""EN""), """")"),"retired")</f>
        <v>retired</v>
      </c>
      <c r="N668" s="5" t="str">
        <f>IFERROR(__xludf.DUMMYFUNCTION("IF(Y668&lt;&gt;"""", GOOGLETRANSLATE(Y668, ""RO"", ""EN""), """")"),"You are housewife or work all the time in the household, you have")</f>
        <v>You are housewife or work all the time in the household, you have</v>
      </c>
      <c r="P668" s="4" t="s">
        <v>1855</v>
      </c>
      <c r="Q668" s="4" t="s">
        <v>1856</v>
      </c>
      <c r="R668" s="4" t="s">
        <v>1857</v>
      </c>
      <c r="S668" s="4" t="s">
        <v>1858</v>
      </c>
      <c r="T668" s="4" t="s">
        <v>1859</v>
      </c>
      <c r="U668" s="4" t="s">
        <v>1860</v>
      </c>
      <c r="V668" s="4" t="s">
        <v>1861</v>
      </c>
      <c r="W668" s="4" t="s">
        <v>1862</v>
      </c>
      <c r="X668" s="4" t="s">
        <v>764</v>
      </c>
      <c r="Y668" s="4" t="s">
        <v>1863</v>
      </c>
      <c r="Z668" s="4" t="s">
        <v>177</v>
      </c>
      <c r="AA668" s="4" t="s">
        <v>103</v>
      </c>
      <c r="AB668" s="4" t="s">
        <v>104</v>
      </c>
      <c r="AH668" s="4" t="s">
        <v>1864</v>
      </c>
      <c r="AI668" s="4" t="s">
        <v>776</v>
      </c>
    </row>
    <row r="669" ht="15.75" customHeight="1">
      <c r="A669" s="4" t="s">
        <v>1867</v>
      </c>
      <c r="B669" s="4" t="s">
        <v>1868</v>
      </c>
      <c r="C669" s="4" t="str">
        <f>IFERROR(__xludf.DUMMYFUNCTION("GOOGLETRANSLATE(B669, ""RO"", ""EN"")"),"Another status")</f>
        <v>Another status</v>
      </c>
      <c r="D669" s="5" t="str">
        <f>IFERROR(__xludf.DUMMYFUNCTION("IF(O669&lt;&gt;"""", GOOGLETRANSLATE(O669, ""RO"", ""EN""), """")"),"")</f>
        <v/>
      </c>
      <c r="E669" s="6" t="str">
        <f>IFERROR(__xludf.DUMMYFUNCTION("IF(P669&lt;&gt;"""", GOOGLETRANSLATE(P669, ""RO"", ""EN""), """")"),"")</f>
        <v/>
      </c>
      <c r="F669" s="5" t="str">
        <f>IFERROR(__xludf.DUMMYFUNCTION("IF(Q669&lt;&gt;"""", GOOGLETRANSLATE(Q669, ""RO"", ""EN""), """")"),"")</f>
        <v/>
      </c>
      <c r="G669" s="5" t="str">
        <f>IFERROR(__xludf.DUMMYFUNCTION("IF(R669&lt;&gt;"""", GOOGLETRANSLATE(R669, ""RO"", ""EN""), """")"),"")</f>
        <v/>
      </c>
      <c r="H669" s="5" t="str">
        <f>IFERROR(__xludf.DUMMYFUNCTION("IF(U669&lt;&gt;"""", GOOGLETRANSLATE(U669, ""RO"", ""EN""), """")"),"")</f>
        <v/>
      </c>
      <c r="I669" s="5" t="str">
        <f>IFERROR(__xludf.DUMMYFUNCTION("IF(V669&lt;&gt;"""", GOOGLETRANSLATE(V669, ""RO"", ""EN""), """")"),"")</f>
        <v/>
      </c>
      <c r="J669" s="5" t="str">
        <f>IFERROR(__xludf.DUMMYFUNCTION("IF(W669&lt;&gt;"""", GOOGLETRANSLATE(W669, ""RO"", ""EN""), """")"),"")</f>
        <v/>
      </c>
      <c r="K669" s="5" t="str">
        <f>IFERROR(__xludf.DUMMYFUNCTION("IF(X669&lt;&gt;"""", GOOGLETRANSLATE(X669, ""RO"", ""EN""), """")"),"")</f>
        <v/>
      </c>
      <c r="L669" s="5" t="str">
        <f>IFERROR(__xludf.DUMMYFUNCTION("IF(S669&lt;&gt;"""", GOOGLETRANSLATE(S669, ""RO"", ""EN""), """")"),"")</f>
        <v/>
      </c>
      <c r="M669" s="5" t="str">
        <f>IFERROR(__xludf.DUMMYFUNCTION("IF(T669&lt;&gt;"""", GOOGLETRANSLATE(T669, ""RO"", ""EN""), """")"),"")</f>
        <v/>
      </c>
      <c r="N669" s="5" t="str">
        <f>IFERROR(__xludf.DUMMYFUNCTION("IF(Y669&lt;&gt;"""", GOOGLETRANSLATE(Y669, ""RO"", ""EN""), """")"),"")</f>
        <v/>
      </c>
    </row>
    <row r="670" ht="15.75" customHeight="1">
      <c r="A670" s="4" t="s">
        <v>1869</v>
      </c>
      <c r="B670" s="4" t="s">
        <v>779</v>
      </c>
      <c r="C670" s="4" t="str">
        <f>IFERROR(__xludf.DUMMYFUNCTION("GOOGLETRANSLATE(B670, ""RO"", ""EN"")"),"What occupation do you currently have or what was the last occupation you had?")</f>
        <v>What occupation do you currently have or what was the last occupation you had?</v>
      </c>
      <c r="D670" s="5" t="str">
        <f>IFERROR(__xludf.DUMMYFUNCTION("IF(O670&lt;&gt;"""", GOOGLETRANSLATE(O670, ""RO"", ""EN""), """")"),"")</f>
        <v/>
      </c>
      <c r="E670" s="6" t="str">
        <f>IFERROR(__xludf.DUMMYFUNCTION("IF(P670&lt;&gt;"""", GOOGLETRANSLATE(P670, ""RO"", ""EN""), """")"),"leaders of units and patrons, entrepreneurs")</f>
        <v>leaders of units and patrons, entrepreneurs</v>
      </c>
      <c r="F670" s="5" t="str">
        <f>IFERROR(__xludf.DUMMYFUNCTION("IF(Q670&lt;&gt;"""", GOOGLETRANSLATE(Q670, ""RO"", ""EN""), """")"),"Intellectual occupations (teacher, doctor, economist, lawyer, i")</f>
        <v>Intellectual occupations (teacher, doctor, economist, lawyer, i</v>
      </c>
      <c r="G670" s="5" t="str">
        <f>IFERROR(__xludf.DUMMYFUNCTION("IF(R670&lt;&gt;"""", GOOGLETRANSLATE(R670, ""RO"", ""EN""), """")"),"technicians or mastari")</f>
        <v>technicians or mastari</v>
      </c>
      <c r="H670" s="5" t="str">
        <f>IFERROR(__xludf.DUMMYFUNCTION("IF(U670&lt;&gt;"""", GOOGLETRANSLATE(U670, ""RO"", ""EN""), """")"),"OPERATION")</f>
        <v>OPERATION</v>
      </c>
      <c r="I670" s="5" t="str">
        <f>IFERROR(__xludf.DUMMYFUNCTION("IF(V670&lt;&gt;"""", GOOGLETRANSLATE(V670, ""RO"", ""EN""), """")"),"Workers in Services and Trade")</f>
        <v>Workers in Services and Trade</v>
      </c>
      <c r="J670" s="5" t="str">
        <f>IFERROR(__xludf.DUMMYFUNCTION("IF(W670&lt;&gt;"""", GOOGLETRANSLATE(W670, ""RO"", ""EN""), """")"),"Farmers with qualification or in their own household")</f>
        <v>Farmers with qualification or in their own household</v>
      </c>
      <c r="K670" s="5" t="str">
        <f>IFERROR(__xludf.DUMMYFUNCTION("IF(X670&lt;&gt;"""", GOOGLETRANSLATE(X670, ""RO"", ""EN""), """")"),"crafts and repair mechanics")</f>
        <v>crafts and repair mechanics</v>
      </c>
      <c r="L670" s="5" t="str">
        <f>IFERROR(__xludf.DUMMYFUNCTION("IF(S670&lt;&gt;"""", GOOGLETRANSLATE(S670, ""RO"", ""EN""), """")"),"qualified workers")</f>
        <v>qualified workers</v>
      </c>
      <c r="M670" s="5" t="str">
        <f>IFERROR(__xludf.DUMMYFUNCTION("IF(T670&lt;&gt;"""", GOOGLETRANSLATE(T670, ""RO"", ""EN""), """")"),"unskilled workers in non-agricultural sectors")</f>
        <v>unskilled workers in non-agricultural sectors</v>
      </c>
      <c r="N670" s="5" t="str">
        <f>IFERROR(__xludf.DUMMYFUNCTION("IF(Y670&lt;&gt;"""", GOOGLETRANSLATE(Y670, ""RO"", ""EN""), """")"),"day laborers")</f>
        <v>day laborers</v>
      </c>
      <c r="P670" s="4" t="s">
        <v>780</v>
      </c>
      <c r="Q670" s="4" t="s">
        <v>781</v>
      </c>
      <c r="R670" s="4" t="s">
        <v>782</v>
      </c>
      <c r="S670" s="4" t="s">
        <v>783</v>
      </c>
      <c r="T670" s="4" t="s">
        <v>784</v>
      </c>
      <c r="U670" s="4" t="s">
        <v>785</v>
      </c>
      <c r="V670" s="4" t="s">
        <v>786</v>
      </c>
      <c r="W670" s="4" t="s">
        <v>787</v>
      </c>
      <c r="X670" s="4" t="s">
        <v>788</v>
      </c>
      <c r="Y670" s="4" t="s">
        <v>789</v>
      </c>
      <c r="Z670" s="4" t="s">
        <v>790</v>
      </c>
      <c r="AA670" s="4" t="s">
        <v>791</v>
      </c>
      <c r="AB670" s="4" t="s">
        <v>104</v>
      </c>
      <c r="AD670" s="4" t="s">
        <v>1870</v>
      </c>
      <c r="AH670" s="4" t="s">
        <v>792</v>
      </c>
      <c r="AI670" s="4" t="s">
        <v>793</v>
      </c>
      <c r="AJ670" s="4" t="s">
        <v>794</v>
      </c>
    </row>
    <row r="671" ht="15.75" customHeight="1">
      <c r="A671" s="4" t="s">
        <v>1871</v>
      </c>
      <c r="B671" s="4" t="s">
        <v>1872</v>
      </c>
      <c r="C671" s="4" t="str">
        <f>IFERROR(__xludf.DUMMYFUNCTION("GOOGLETRANSLATE(B671, ""RO"", ""EN"")"),"The partner / partner what occupation has / had?")</f>
        <v>The partner / partner what occupation has / had?</v>
      </c>
      <c r="D671" s="5" t="str">
        <f>IFERROR(__xludf.DUMMYFUNCTION("IF(O671&lt;&gt;"""", GOOGLETRANSLATE(O671, ""RO"", ""EN""), """")"),"")</f>
        <v/>
      </c>
      <c r="E671" s="6" t="str">
        <f>IFERROR(__xludf.DUMMYFUNCTION("IF(P671&lt;&gt;"""", GOOGLETRANSLATE(P671, ""RO"", ""EN""), """")"),"leaders of units and patrons, entrepreneurs")</f>
        <v>leaders of units and patrons, entrepreneurs</v>
      </c>
      <c r="F671" s="5" t="str">
        <f>IFERROR(__xludf.DUMMYFUNCTION("IF(Q671&lt;&gt;"""", GOOGLETRANSLATE(Q671, ""RO"", ""EN""), """")"),"Intellectual occupations (teacher, doctor, economist, lawyer, i")</f>
        <v>Intellectual occupations (teacher, doctor, economist, lawyer, i</v>
      </c>
      <c r="G671" s="5" t="str">
        <f>IFERROR(__xludf.DUMMYFUNCTION("IF(R671&lt;&gt;"""", GOOGLETRANSLATE(R671, ""RO"", ""EN""), """")"),"technicians or mastari")</f>
        <v>technicians or mastari</v>
      </c>
      <c r="H671" s="5" t="str">
        <f>IFERROR(__xludf.DUMMYFUNCTION("IF(U671&lt;&gt;"""", GOOGLETRANSLATE(U671, ""RO"", ""EN""), """")"),"OPERATION")</f>
        <v>OPERATION</v>
      </c>
      <c r="I671" s="5" t="str">
        <f>IFERROR(__xludf.DUMMYFUNCTION("IF(V671&lt;&gt;"""", GOOGLETRANSLATE(V671, ""RO"", ""EN""), """")"),"Workers in Services and Trade")</f>
        <v>Workers in Services and Trade</v>
      </c>
      <c r="J671" s="5" t="str">
        <f>IFERROR(__xludf.DUMMYFUNCTION("IF(W671&lt;&gt;"""", GOOGLETRANSLATE(W671, ""RO"", ""EN""), """")"),"Farmers with qualification or in their own household")</f>
        <v>Farmers with qualification or in their own household</v>
      </c>
      <c r="K671" s="5" t="str">
        <f>IFERROR(__xludf.DUMMYFUNCTION("IF(X671&lt;&gt;"""", GOOGLETRANSLATE(X671, ""RO"", ""EN""), """")"),"crafts and repair mechanics")</f>
        <v>crafts and repair mechanics</v>
      </c>
      <c r="L671" s="5" t="str">
        <f>IFERROR(__xludf.DUMMYFUNCTION("IF(S671&lt;&gt;"""", GOOGLETRANSLATE(S671, ""RO"", ""EN""), """")"),"qualified workers")</f>
        <v>qualified workers</v>
      </c>
      <c r="M671" s="5" t="str">
        <f>IFERROR(__xludf.DUMMYFUNCTION("IF(T671&lt;&gt;"""", GOOGLETRANSLATE(T671, ""RO"", ""EN""), """")"),"unskilled workers in non-agricultural sectors")</f>
        <v>unskilled workers in non-agricultural sectors</v>
      </c>
      <c r="N671" s="5" t="str">
        <f>IFERROR(__xludf.DUMMYFUNCTION("IF(Y671&lt;&gt;"""", GOOGLETRANSLATE(Y671, ""RO"", ""EN""), """")"),"day laborers")</f>
        <v>day laborers</v>
      </c>
      <c r="P671" s="4" t="s">
        <v>780</v>
      </c>
      <c r="Q671" s="4" t="s">
        <v>781</v>
      </c>
      <c r="R671" s="4" t="s">
        <v>782</v>
      </c>
      <c r="S671" s="4" t="s">
        <v>783</v>
      </c>
      <c r="T671" s="4" t="s">
        <v>784</v>
      </c>
      <c r="U671" s="4" t="s">
        <v>785</v>
      </c>
      <c r="V671" s="4" t="s">
        <v>786</v>
      </c>
      <c r="W671" s="4" t="s">
        <v>787</v>
      </c>
      <c r="X671" s="4" t="s">
        <v>788</v>
      </c>
      <c r="Y671" s="4" t="s">
        <v>789</v>
      </c>
      <c r="Z671" s="4" t="s">
        <v>790</v>
      </c>
      <c r="AA671" s="4" t="s">
        <v>791</v>
      </c>
      <c r="AB671" s="4" t="s">
        <v>104</v>
      </c>
      <c r="AD671" s="4" t="s">
        <v>1870</v>
      </c>
      <c r="AH671" s="4" t="s">
        <v>792</v>
      </c>
      <c r="AI671" s="4" t="s">
        <v>793</v>
      </c>
      <c r="AJ671" s="4" t="s">
        <v>794</v>
      </c>
    </row>
    <row r="672" ht="15.75" customHeight="1">
      <c r="A672" s="4" t="s">
        <v>1873</v>
      </c>
      <c r="B672" s="4" t="s">
        <v>1874</v>
      </c>
      <c r="C672" s="4" t="str">
        <f>IFERROR(__xludf.DUMMYFUNCTION("GOOGLETRANSLATE(B672, ""RO"", ""EN"")"),"What is the name of the work (function, position) that you carry out (at the main job) was called?")</f>
        <v>What is the name of the work (function, position) that you carry out (at the main job) was called?</v>
      </c>
      <c r="D672" s="5" t="str">
        <f>IFERROR(__xludf.DUMMYFUNCTION("IF(O672&lt;&gt;"""", GOOGLETRANSLATE(O672, ""RO"", ""EN""), """")"),"")</f>
        <v/>
      </c>
      <c r="E672" s="6" t="str">
        <f>IFERROR(__xludf.DUMMYFUNCTION("IF(P672&lt;&gt;"""", GOOGLETRANSLATE(P672, ""RO"", ""EN""), """")"),"")</f>
        <v/>
      </c>
      <c r="F672" s="5" t="str">
        <f>IFERROR(__xludf.DUMMYFUNCTION("IF(Q672&lt;&gt;"""", GOOGLETRANSLATE(Q672, ""RO"", ""EN""), """")"),"")</f>
        <v/>
      </c>
      <c r="G672" s="5" t="str">
        <f>IFERROR(__xludf.DUMMYFUNCTION("IF(R672&lt;&gt;"""", GOOGLETRANSLATE(R672, ""RO"", ""EN""), """")"),"")</f>
        <v/>
      </c>
      <c r="H672" s="5" t="str">
        <f>IFERROR(__xludf.DUMMYFUNCTION("IF(U672&lt;&gt;"""", GOOGLETRANSLATE(U672, ""RO"", ""EN""), """")"),"")</f>
        <v/>
      </c>
      <c r="I672" s="5" t="str">
        <f>IFERROR(__xludf.DUMMYFUNCTION("IF(V672&lt;&gt;"""", GOOGLETRANSLATE(V672, ""RO"", ""EN""), """")"),"")</f>
        <v/>
      </c>
      <c r="J672" s="5" t="str">
        <f>IFERROR(__xludf.DUMMYFUNCTION("IF(W672&lt;&gt;"""", GOOGLETRANSLATE(W672, ""RO"", ""EN""), """")"),"")</f>
        <v/>
      </c>
      <c r="K672" s="5" t="str">
        <f>IFERROR(__xludf.DUMMYFUNCTION("IF(X672&lt;&gt;"""", GOOGLETRANSLATE(X672, ""RO"", ""EN""), """")"),"")</f>
        <v/>
      </c>
      <c r="L672" s="5" t="str">
        <f>IFERROR(__xludf.DUMMYFUNCTION("IF(S672&lt;&gt;"""", GOOGLETRANSLATE(S672, ""RO"", ""EN""), """")"),"")</f>
        <v/>
      </c>
      <c r="M672" s="5" t="str">
        <f>IFERROR(__xludf.DUMMYFUNCTION("IF(T672&lt;&gt;"""", GOOGLETRANSLATE(T672, ""RO"", ""EN""), """")"),"")</f>
        <v/>
      </c>
      <c r="N672" s="5" t="str">
        <f>IFERROR(__xludf.DUMMYFUNCTION("IF(Y672&lt;&gt;"""", GOOGLETRANSLATE(Y672, ""RO"", ""EN""), """")"),"")</f>
        <v/>
      </c>
    </row>
    <row r="673" ht="15.75" customHeight="1">
      <c r="A673" s="4" t="s">
        <v>1875</v>
      </c>
      <c r="B673" s="4" t="s">
        <v>1876</v>
      </c>
      <c r="C673" s="4" t="str">
        <f>IFERROR(__xludf.DUMMYFUNCTION("GOOGLETRANSLATE(B673, ""RO"", ""EN"")"),"But your partner / partner's work?")</f>
        <v>But your partner / partner's work?</v>
      </c>
      <c r="D673" s="5" t="str">
        <f>IFERROR(__xludf.DUMMYFUNCTION("IF(O673&lt;&gt;"""", GOOGLETRANSLATE(O673, ""RO"", ""EN""), """")"),"")</f>
        <v/>
      </c>
      <c r="E673" s="6" t="str">
        <f>IFERROR(__xludf.DUMMYFUNCTION("IF(P673&lt;&gt;"""", GOOGLETRANSLATE(P673, ""RO"", ""EN""), """")"),"")</f>
        <v/>
      </c>
      <c r="F673" s="5" t="str">
        <f>IFERROR(__xludf.DUMMYFUNCTION("IF(Q673&lt;&gt;"""", GOOGLETRANSLATE(Q673, ""RO"", ""EN""), """")"),"")</f>
        <v/>
      </c>
      <c r="G673" s="5" t="str">
        <f>IFERROR(__xludf.DUMMYFUNCTION("IF(R673&lt;&gt;"""", GOOGLETRANSLATE(R673, ""RO"", ""EN""), """")"),"")</f>
        <v/>
      </c>
      <c r="H673" s="5" t="str">
        <f>IFERROR(__xludf.DUMMYFUNCTION("IF(U673&lt;&gt;"""", GOOGLETRANSLATE(U673, ""RO"", ""EN""), """")"),"")</f>
        <v/>
      </c>
      <c r="I673" s="5" t="str">
        <f>IFERROR(__xludf.DUMMYFUNCTION("IF(V673&lt;&gt;"""", GOOGLETRANSLATE(V673, ""RO"", ""EN""), """")"),"")</f>
        <v/>
      </c>
      <c r="J673" s="5" t="str">
        <f>IFERROR(__xludf.DUMMYFUNCTION("IF(W673&lt;&gt;"""", GOOGLETRANSLATE(W673, ""RO"", ""EN""), """")"),"")</f>
        <v/>
      </c>
      <c r="K673" s="5" t="str">
        <f>IFERROR(__xludf.DUMMYFUNCTION("IF(X673&lt;&gt;"""", GOOGLETRANSLATE(X673, ""RO"", ""EN""), """")"),"")</f>
        <v/>
      </c>
      <c r="L673" s="5" t="str">
        <f>IFERROR(__xludf.DUMMYFUNCTION("IF(S673&lt;&gt;"""", GOOGLETRANSLATE(S673, ""RO"", ""EN""), """")"),"")</f>
        <v/>
      </c>
      <c r="M673" s="5" t="str">
        <f>IFERROR(__xludf.DUMMYFUNCTION("IF(T673&lt;&gt;"""", GOOGLETRANSLATE(T673, ""RO"", ""EN""), """")"),"")</f>
        <v/>
      </c>
      <c r="N673" s="5" t="str">
        <f>IFERROR(__xludf.DUMMYFUNCTION("IF(Y673&lt;&gt;"""", GOOGLETRANSLATE(Y673, ""RO"", ""EN""), """")"),"")</f>
        <v/>
      </c>
    </row>
    <row r="674" ht="15.75" customHeight="1">
      <c r="A674" s="4" t="s">
        <v>1877</v>
      </c>
      <c r="B674" s="4" t="s">
        <v>1878</v>
      </c>
      <c r="C674" s="4" t="str">
        <f>IFERROR(__xludf.DUMMYFUNCTION("GOOGLETRANSLATE(B674, ""RO"", ""EN"")"),"What kind of activity do you carry out at this / that job most time?")</f>
        <v>What kind of activity do you carry out at this / that job most time?</v>
      </c>
      <c r="D674" s="5" t="str">
        <f>IFERROR(__xludf.DUMMYFUNCTION("IF(O674&lt;&gt;"""", GOOGLETRANSLATE(O674, ""RO"", ""EN""), """")"),"")</f>
        <v/>
      </c>
      <c r="E674" s="6" t="str">
        <f>IFERROR(__xludf.DUMMYFUNCTION("IF(P674&lt;&gt;"""", GOOGLETRANSLATE(P674, ""RO"", ""EN""), """")"),"")</f>
        <v/>
      </c>
      <c r="F674" s="5" t="str">
        <f>IFERROR(__xludf.DUMMYFUNCTION("IF(Q674&lt;&gt;"""", GOOGLETRANSLATE(Q674, ""RO"", ""EN""), """")"),"")</f>
        <v/>
      </c>
      <c r="G674" s="5" t="str">
        <f>IFERROR(__xludf.DUMMYFUNCTION("IF(R674&lt;&gt;"""", GOOGLETRANSLATE(R674, ""RO"", ""EN""), """")"),"")</f>
        <v/>
      </c>
      <c r="H674" s="5" t="str">
        <f>IFERROR(__xludf.DUMMYFUNCTION("IF(U674&lt;&gt;"""", GOOGLETRANSLATE(U674, ""RO"", ""EN""), """")"),"")</f>
        <v/>
      </c>
      <c r="I674" s="5" t="str">
        <f>IFERROR(__xludf.DUMMYFUNCTION("IF(V674&lt;&gt;"""", GOOGLETRANSLATE(V674, ""RO"", ""EN""), """")"),"")</f>
        <v/>
      </c>
      <c r="J674" s="5" t="str">
        <f>IFERROR(__xludf.DUMMYFUNCTION("IF(W674&lt;&gt;"""", GOOGLETRANSLATE(W674, ""RO"", ""EN""), """")"),"")</f>
        <v/>
      </c>
      <c r="K674" s="5" t="str">
        <f>IFERROR(__xludf.DUMMYFUNCTION("IF(X674&lt;&gt;"""", GOOGLETRANSLATE(X674, ""RO"", ""EN""), """")"),"")</f>
        <v/>
      </c>
      <c r="L674" s="5" t="str">
        <f>IFERROR(__xludf.DUMMYFUNCTION("IF(S674&lt;&gt;"""", GOOGLETRANSLATE(S674, ""RO"", ""EN""), """")"),"")</f>
        <v/>
      </c>
      <c r="M674" s="5" t="str">
        <f>IFERROR(__xludf.DUMMYFUNCTION("IF(T674&lt;&gt;"""", GOOGLETRANSLATE(T674, ""RO"", ""EN""), """")"),"")</f>
        <v/>
      </c>
      <c r="N674" s="5" t="str">
        <f>IFERROR(__xludf.DUMMYFUNCTION("IF(Y674&lt;&gt;"""", GOOGLETRANSLATE(Y674, ""RO"", ""EN""), """")"),"")</f>
        <v/>
      </c>
    </row>
    <row r="675" ht="15.75" customHeight="1">
      <c r="A675" s="4" t="s">
        <v>1879</v>
      </c>
      <c r="B675" s="4" t="s">
        <v>1880</v>
      </c>
      <c r="C675" s="4" t="str">
        <f>IFERROR(__xludf.DUMMYFUNCTION("GOOGLETRANSLATE(B675, ""RO"", ""EN"")"),"But your partner / partner?")</f>
        <v>But your partner / partner?</v>
      </c>
      <c r="D675" s="5" t="str">
        <f>IFERROR(__xludf.DUMMYFUNCTION("IF(O675&lt;&gt;"""", GOOGLETRANSLATE(O675, ""RO"", ""EN""), """")"),"")</f>
        <v/>
      </c>
      <c r="E675" s="6" t="str">
        <f>IFERROR(__xludf.DUMMYFUNCTION("IF(P675&lt;&gt;"""", GOOGLETRANSLATE(P675, ""RO"", ""EN""), """")"),"")</f>
        <v/>
      </c>
      <c r="F675" s="5" t="str">
        <f>IFERROR(__xludf.DUMMYFUNCTION("IF(Q675&lt;&gt;"""", GOOGLETRANSLATE(Q675, ""RO"", ""EN""), """")"),"")</f>
        <v/>
      </c>
      <c r="G675" s="5" t="str">
        <f>IFERROR(__xludf.DUMMYFUNCTION("IF(R675&lt;&gt;"""", GOOGLETRANSLATE(R675, ""RO"", ""EN""), """")"),"")</f>
        <v/>
      </c>
      <c r="H675" s="5" t="str">
        <f>IFERROR(__xludf.DUMMYFUNCTION("IF(U675&lt;&gt;"""", GOOGLETRANSLATE(U675, ""RO"", ""EN""), """")"),"")</f>
        <v/>
      </c>
      <c r="I675" s="5" t="str">
        <f>IFERROR(__xludf.DUMMYFUNCTION("IF(V675&lt;&gt;"""", GOOGLETRANSLATE(V675, ""RO"", ""EN""), """")"),"")</f>
        <v/>
      </c>
      <c r="J675" s="5" t="str">
        <f>IFERROR(__xludf.DUMMYFUNCTION("IF(W675&lt;&gt;"""", GOOGLETRANSLATE(W675, ""RO"", ""EN""), """")"),"")</f>
        <v/>
      </c>
      <c r="K675" s="5" t="str">
        <f>IFERROR(__xludf.DUMMYFUNCTION("IF(X675&lt;&gt;"""", GOOGLETRANSLATE(X675, ""RO"", ""EN""), """")"),"")</f>
        <v/>
      </c>
      <c r="L675" s="5" t="str">
        <f>IFERROR(__xludf.DUMMYFUNCTION("IF(S675&lt;&gt;"""", GOOGLETRANSLATE(S675, ""RO"", ""EN""), """")"),"")</f>
        <v/>
      </c>
      <c r="M675" s="5" t="str">
        <f>IFERROR(__xludf.DUMMYFUNCTION("IF(T675&lt;&gt;"""", GOOGLETRANSLATE(T675, ""RO"", ""EN""), """")"),"")</f>
        <v/>
      </c>
      <c r="N675" s="5" t="str">
        <f>IFERROR(__xludf.DUMMYFUNCTION("IF(Y675&lt;&gt;"""", GOOGLETRANSLATE(Y675, ""RO"", ""EN""), """")"),"")</f>
        <v/>
      </c>
    </row>
    <row r="676" ht="15.75" customHeight="1">
      <c r="A676" s="4" t="s">
        <v>1881</v>
      </c>
      <c r="B676" s="4" t="s">
        <v>1882</v>
      </c>
      <c r="C676" s="4" t="str">
        <f>IFERROR(__xludf.DUMMYFUNCTION("GOOGLETRANSLATE(B676, ""RO"", ""EN"")"),"In what area / sector is this job?")</f>
        <v>In what area / sector is this job?</v>
      </c>
      <c r="D676" s="5" t="str">
        <f>IFERROR(__xludf.DUMMYFUNCTION("IF(O676&lt;&gt;"""", GOOGLETRANSLATE(O676, ""RO"", ""EN""), """")"),"")</f>
        <v/>
      </c>
      <c r="E676" s="6" t="str">
        <f>IFERROR(__xludf.DUMMYFUNCTION("IF(P676&lt;&gt;"""", GOOGLETRANSLATE(P676, ""RO"", ""EN""), """")"),"")</f>
        <v/>
      </c>
      <c r="F676" s="5" t="str">
        <f>IFERROR(__xludf.DUMMYFUNCTION("IF(Q676&lt;&gt;"""", GOOGLETRANSLATE(Q676, ""RO"", ""EN""), """")"),"")</f>
        <v/>
      </c>
      <c r="G676" s="5" t="str">
        <f>IFERROR(__xludf.DUMMYFUNCTION("IF(R676&lt;&gt;"""", GOOGLETRANSLATE(R676, ""RO"", ""EN""), """")"),"")</f>
        <v/>
      </c>
      <c r="H676" s="5" t="str">
        <f>IFERROR(__xludf.DUMMYFUNCTION("IF(U676&lt;&gt;"""", GOOGLETRANSLATE(U676, ""RO"", ""EN""), """")"),"")</f>
        <v/>
      </c>
      <c r="I676" s="5" t="str">
        <f>IFERROR(__xludf.DUMMYFUNCTION("IF(V676&lt;&gt;"""", GOOGLETRANSLATE(V676, ""RO"", ""EN""), """")"),"")</f>
        <v/>
      </c>
      <c r="J676" s="5" t="str">
        <f>IFERROR(__xludf.DUMMYFUNCTION("IF(W676&lt;&gt;"""", GOOGLETRANSLATE(W676, ""RO"", ""EN""), """")"),"")</f>
        <v/>
      </c>
      <c r="K676" s="5" t="str">
        <f>IFERROR(__xludf.DUMMYFUNCTION("IF(X676&lt;&gt;"""", GOOGLETRANSLATE(X676, ""RO"", ""EN""), """")"),"")</f>
        <v/>
      </c>
      <c r="L676" s="5" t="str">
        <f>IFERROR(__xludf.DUMMYFUNCTION("IF(S676&lt;&gt;"""", GOOGLETRANSLATE(S676, ""RO"", ""EN""), """")"),"")</f>
        <v/>
      </c>
      <c r="M676" s="5" t="str">
        <f>IFERROR(__xludf.DUMMYFUNCTION("IF(T676&lt;&gt;"""", GOOGLETRANSLATE(T676, ""RO"", ""EN""), """")"),"")</f>
        <v/>
      </c>
      <c r="N676" s="5" t="str">
        <f>IFERROR(__xludf.DUMMYFUNCTION("IF(Y676&lt;&gt;"""", GOOGLETRANSLATE(Y676, ""RO"", ""EN""), """")"),"")</f>
        <v/>
      </c>
    </row>
    <row r="677" ht="15.75" customHeight="1">
      <c r="A677" s="4" t="s">
        <v>1883</v>
      </c>
      <c r="B677" s="4" t="s">
        <v>1884</v>
      </c>
      <c r="C677" s="4" t="str">
        <f>IFERROR(__xludf.DUMMYFUNCTION("GOOGLETRANSLATE(B677, ""RO"", ""EN"")"),"In what area is your partner's job (his)?")</f>
        <v>In what area is your partner's job (his)?</v>
      </c>
      <c r="D677" s="5" t="str">
        <f>IFERROR(__xludf.DUMMYFUNCTION("IF(O677&lt;&gt;"""", GOOGLETRANSLATE(O677, ""RO"", ""EN""), """")"),"")</f>
        <v/>
      </c>
      <c r="E677" s="6" t="str">
        <f>IFERROR(__xludf.DUMMYFUNCTION("IF(P677&lt;&gt;"""", GOOGLETRANSLATE(P677, ""RO"", ""EN""), """")"),"")</f>
        <v/>
      </c>
      <c r="F677" s="5" t="str">
        <f>IFERROR(__xludf.DUMMYFUNCTION("IF(Q677&lt;&gt;"""", GOOGLETRANSLATE(Q677, ""RO"", ""EN""), """")"),"")</f>
        <v/>
      </c>
      <c r="G677" s="5" t="str">
        <f>IFERROR(__xludf.DUMMYFUNCTION("IF(R677&lt;&gt;"""", GOOGLETRANSLATE(R677, ""RO"", ""EN""), """")"),"")</f>
        <v/>
      </c>
      <c r="H677" s="5" t="str">
        <f>IFERROR(__xludf.DUMMYFUNCTION("IF(U677&lt;&gt;"""", GOOGLETRANSLATE(U677, ""RO"", ""EN""), """")"),"")</f>
        <v/>
      </c>
      <c r="I677" s="5" t="str">
        <f>IFERROR(__xludf.DUMMYFUNCTION("IF(V677&lt;&gt;"""", GOOGLETRANSLATE(V677, ""RO"", ""EN""), """")"),"")</f>
        <v/>
      </c>
      <c r="J677" s="5" t="str">
        <f>IFERROR(__xludf.DUMMYFUNCTION("IF(W677&lt;&gt;"""", GOOGLETRANSLATE(W677, ""RO"", ""EN""), """")"),"")</f>
        <v/>
      </c>
      <c r="K677" s="5" t="str">
        <f>IFERROR(__xludf.DUMMYFUNCTION("IF(X677&lt;&gt;"""", GOOGLETRANSLATE(X677, ""RO"", ""EN""), """")"),"")</f>
        <v/>
      </c>
      <c r="L677" s="5" t="str">
        <f>IFERROR(__xludf.DUMMYFUNCTION("IF(S677&lt;&gt;"""", GOOGLETRANSLATE(S677, ""RO"", ""EN""), """")"),"")</f>
        <v/>
      </c>
      <c r="M677" s="5" t="str">
        <f>IFERROR(__xludf.DUMMYFUNCTION("IF(T677&lt;&gt;"""", GOOGLETRANSLATE(T677, ""RO"", ""EN""), """")"),"")</f>
        <v/>
      </c>
      <c r="N677" s="5" t="str">
        <f>IFERROR(__xludf.DUMMYFUNCTION("IF(Y677&lt;&gt;"""", GOOGLETRANSLATE(Y677, ""RO"", ""EN""), """")"),"")</f>
        <v/>
      </c>
    </row>
    <row r="678" ht="15.75" customHeight="1">
      <c r="A678" s="4" t="s">
        <v>1885</v>
      </c>
      <c r="B678" s="4" t="s">
        <v>1886</v>
      </c>
      <c r="C678" s="4" t="str">
        <f>IFERROR(__xludf.DUMMYFUNCTION("GOOGLETRANSLATE(B678, ""RO"", ""EN"")"),"This job is / was in the private or public sector (""state"")?")</f>
        <v>This job is / was in the private or public sector ("state")?</v>
      </c>
      <c r="D678" s="5" t="str">
        <f>IFERROR(__xludf.DUMMYFUNCTION("IF(O678&lt;&gt;"""", GOOGLETRANSLATE(O678, ""RO"", ""EN""), """")"),"")</f>
        <v/>
      </c>
      <c r="E678" s="6" t="str">
        <f>IFERROR(__xludf.DUMMYFUNCTION("IF(P678&lt;&gt;"""", GOOGLETRANSLATE(P678, ""RO"", ""EN""), """")"),"public")</f>
        <v>public</v>
      </c>
      <c r="F678" s="5" t="str">
        <f>IFERROR(__xludf.DUMMYFUNCTION("IF(Q678&lt;&gt;"""", GOOGLETRANSLATE(Q678, ""RO"", ""EN""), """")"),"private")</f>
        <v>private</v>
      </c>
      <c r="G678" s="5" t="str">
        <f>IFERROR(__xludf.DUMMYFUNCTION("IF(R678&lt;&gt;"""", GOOGLETRANSLATE(R678, ""RO"", ""EN""), """")"),"mixed")</f>
        <v>mixed</v>
      </c>
      <c r="H678" s="5" t="str">
        <f>IFERROR(__xludf.DUMMYFUNCTION("IF(U678&lt;&gt;"""", GOOGLETRANSLATE(U678, ""RO"", ""EN""), """")"),"NGO/non-profit")</f>
        <v>NGO/non-profit</v>
      </c>
      <c r="I678" s="5" t="str">
        <f>IFERROR(__xludf.DUMMYFUNCTION("IF(V678&lt;&gt;"""", GOOGLETRANSLATE(V678, ""RO"", ""EN""), """")"),"")</f>
        <v/>
      </c>
      <c r="J678" s="5" t="str">
        <f>IFERROR(__xludf.DUMMYFUNCTION("IF(W678&lt;&gt;"""", GOOGLETRANSLATE(W678, ""RO"", ""EN""), """")"),"")</f>
        <v/>
      </c>
      <c r="K678" s="5" t="str">
        <f>IFERROR(__xludf.DUMMYFUNCTION("IF(X678&lt;&gt;"""", GOOGLETRANSLATE(X678, ""RO"", ""EN""), """")"),"Nc")</f>
        <v>Nc</v>
      </c>
      <c r="L678" s="5" t="str">
        <f>IFERROR(__xludf.DUMMYFUNCTION("IF(S678&lt;&gt;"""", GOOGLETRANSLATE(S678, ""RO"", ""EN""), """")"),"Ns")</f>
        <v>Ns</v>
      </c>
      <c r="M678" s="5" t="str">
        <f>IFERROR(__xludf.DUMMYFUNCTION("IF(T678&lt;&gt;"""", GOOGLETRANSLATE(T678, ""RO"", ""EN""), """")"),"No.")</f>
        <v>No.</v>
      </c>
      <c r="N678" s="5" t="str">
        <f>IFERROR(__xludf.DUMMYFUNCTION("IF(Y678&lt;&gt;"""", GOOGLETRANSLATE(Y678, ""RO"", ""EN""), """")"),"")</f>
        <v/>
      </c>
      <c r="P678" s="4" t="s">
        <v>1887</v>
      </c>
      <c r="Q678" s="4" t="s">
        <v>1888</v>
      </c>
      <c r="R678" s="4" t="s">
        <v>1889</v>
      </c>
      <c r="S678" s="4" t="s">
        <v>103</v>
      </c>
      <c r="T678" s="4" t="s">
        <v>104</v>
      </c>
      <c r="U678" s="4" t="s">
        <v>1890</v>
      </c>
      <c r="X678" s="4" t="s">
        <v>177</v>
      </c>
    </row>
    <row r="679" ht="15.75" customHeight="1">
      <c r="A679" s="4" t="s">
        <v>1891</v>
      </c>
      <c r="B679" s="4" t="s">
        <v>1892</v>
      </c>
      <c r="C679" s="4" t="str">
        <f>IFERROR(__xludf.DUMMYFUNCTION("GOOGLETRANSLATE(B679, ""RO"", ""EN"")"),"Is the partner of the partner / partner, is / was in the private or public sector (""state"")?")</f>
        <v>Is the partner of the partner / partner, is / was in the private or public sector ("state")?</v>
      </c>
      <c r="D679" s="5" t="str">
        <f>IFERROR(__xludf.DUMMYFUNCTION("IF(O679&lt;&gt;"""", GOOGLETRANSLATE(O679, ""RO"", ""EN""), """")"),"")</f>
        <v/>
      </c>
      <c r="E679" s="6" t="str">
        <f>IFERROR(__xludf.DUMMYFUNCTION("IF(P679&lt;&gt;"""", GOOGLETRANSLATE(P679, ""RO"", ""EN""), """")"),"public")</f>
        <v>public</v>
      </c>
      <c r="F679" s="5" t="str">
        <f>IFERROR(__xludf.DUMMYFUNCTION("IF(Q679&lt;&gt;"""", GOOGLETRANSLATE(Q679, ""RO"", ""EN""), """")"),"private")</f>
        <v>private</v>
      </c>
      <c r="G679" s="5" t="str">
        <f>IFERROR(__xludf.DUMMYFUNCTION("IF(R679&lt;&gt;"""", GOOGLETRANSLATE(R679, ""RO"", ""EN""), """")"),"mixed")</f>
        <v>mixed</v>
      </c>
      <c r="H679" s="5" t="str">
        <f>IFERROR(__xludf.DUMMYFUNCTION("IF(U679&lt;&gt;"""", GOOGLETRANSLATE(U679, ""RO"", ""EN""), """")"),"NGO/non-profit")</f>
        <v>NGO/non-profit</v>
      </c>
      <c r="I679" s="5" t="str">
        <f>IFERROR(__xludf.DUMMYFUNCTION("IF(V679&lt;&gt;"""", GOOGLETRANSLATE(V679, ""RO"", ""EN""), """")"),"")</f>
        <v/>
      </c>
      <c r="J679" s="5" t="str">
        <f>IFERROR(__xludf.DUMMYFUNCTION("IF(W679&lt;&gt;"""", GOOGLETRANSLATE(W679, ""RO"", ""EN""), """")"),"")</f>
        <v/>
      </c>
      <c r="K679" s="5" t="str">
        <f>IFERROR(__xludf.DUMMYFUNCTION("IF(X679&lt;&gt;"""", GOOGLETRANSLATE(X679, ""RO"", ""EN""), """")"),"Nc")</f>
        <v>Nc</v>
      </c>
      <c r="L679" s="5" t="str">
        <f>IFERROR(__xludf.DUMMYFUNCTION("IF(S679&lt;&gt;"""", GOOGLETRANSLATE(S679, ""RO"", ""EN""), """")"),"Ns")</f>
        <v>Ns</v>
      </c>
      <c r="M679" s="5" t="str">
        <f>IFERROR(__xludf.DUMMYFUNCTION("IF(T679&lt;&gt;"""", GOOGLETRANSLATE(T679, ""RO"", ""EN""), """")"),"No.")</f>
        <v>No.</v>
      </c>
      <c r="N679" s="5" t="str">
        <f>IFERROR(__xludf.DUMMYFUNCTION("IF(Y679&lt;&gt;"""", GOOGLETRANSLATE(Y679, ""RO"", ""EN""), """")"),"")</f>
        <v/>
      </c>
      <c r="P679" s="4" t="s">
        <v>1887</v>
      </c>
      <c r="Q679" s="4" t="s">
        <v>1888</v>
      </c>
      <c r="R679" s="4" t="s">
        <v>1889</v>
      </c>
      <c r="S679" s="4" t="s">
        <v>103</v>
      </c>
      <c r="T679" s="4" t="s">
        <v>104</v>
      </c>
      <c r="U679" s="4" t="s">
        <v>1890</v>
      </c>
      <c r="X679" s="4" t="s">
        <v>177</v>
      </c>
    </row>
    <row r="680" ht="15.75" customHeight="1">
      <c r="A680" s="4" t="s">
        <v>1893</v>
      </c>
      <c r="B680" s="4" t="s">
        <v>1894</v>
      </c>
      <c r="C680" s="4" t="str">
        <f>IFERROR(__xludf.DUMMYFUNCTION("GOOGLETRANSLATE(B680, ""RO"", ""EN"")"),"Do you have someone at this job?")</f>
        <v>Do you have someone at this job?</v>
      </c>
      <c r="D680" s="5" t="str">
        <f>IFERROR(__xludf.DUMMYFUNCTION("IF(O680&lt;&gt;"""", GOOGLETRANSLATE(O680, ""RO"", ""EN""), """")"),"")</f>
        <v/>
      </c>
      <c r="E680" s="6" t="str">
        <f>IFERROR(__xludf.DUMMYFUNCTION("IF(P680&lt;&gt;"""", GOOGLETRANSLATE(P680, ""RO"", ""EN""), """")"),"Yes")</f>
        <v>Yes</v>
      </c>
      <c r="F680" s="5" t="str">
        <f>IFERROR(__xludf.DUMMYFUNCTION("IF(Q680&lt;&gt;"""", GOOGLETRANSLATE(Q680, ""RO"", ""EN""), """")"),"Not")</f>
        <v>Not</v>
      </c>
      <c r="G680" s="5" t="str">
        <f>IFERROR(__xludf.DUMMYFUNCTION("IF(R680&lt;&gt;"""", GOOGLETRANSLATE(R680, ""RO"", ""EN""), """")"),"")</f>
        <v/>
      </c>
      <c r="H680" s="5" t="str">
        <f>IFERROR(__xludf.DUMMYFUNCTION("IF(U680&lt;&gt;"""", GOOGLETRANSLATE(U680, ""RO"", ""EN""), """")"),"")</f>
        <v/>
      </c>
      <c r="I680" s="5" t="str">
        <f>IFERROR(__xludf.DUMMYFUNCTION("IF(V680&lt;&gt;"""", GOOGLETRANSLATE(V680, ""RO"", ""EN""), """")"),"")</f>
        <v/>
      </c>
      <c r="J680" s="5" t="str">
        <f>IFERROR(__xludf.DUMMYFUNCTION("IF(W680&lt;&gt;"""", GOOGLETRANSLATE(W680, ""RO"", ""EN""), """")"),"")</f>
        <v/>
      </c>
      <c r="K680" s="5" t="str">
        <f>IFERROR(__xludf.DUMMYFUNCTION("IF(X680&lt;&gt;"""", GOOGLETRANSLATE(X680, ""RO"", ""EN""), """")"),"NC (children, students / students, housewives)")</f>
        <v>NC (children, students / students, housewives)</v>
      </c>
      <c r="L680" s="5" t="str">
        <f>IFERROR(__xludf.DUMMYFUNCTION("IF(S680&lt;&gt;"""", GOOGLETRANSLATE(S680, ""RO"", ""EN""), """")"),"Ns")</f>
        <v>Ns</v>
      </c>
      <c r="M680" s="5" t="str">
        <f>IFERROR(__xludf.DUMMYFUNCTION("IF(T680&lt;&gt;"""", GOOGLETRANSLATE(T680, ""RO"", ""EN""), """")"),"No.")</f>
        <v>No.</v>
      </c>
      <c r="N680" s="5" t="str">
        <f>IFERROR(__xludf.DUMMYFUNCTION("IF(Y680&lt;&gt;"""", GOOGLETRANSLATE(Y680, ""RO"", ""EN""), """")"),"")</f>
        <v/>
      </c>
      <c r="P680" s="4" t="s">
        <v>639</v>
      </c>
      <c r="Q680" s="4" t="s">
        <v>640</v>
      </c>
      <c r="S680" s="4" t="s">
        <v>103</v>
      </c>
      <c r="T680" s="4" t="s">
        <v>104</v>
      </c>
      <c r="X680" s="4" t="s">
        <v>1895</v>
      </c>
    </row>
    <row r="681" ht="15.75" customHeight="1">
      <c r="A681" s="4" t="s">
        <v>1896</v>
      </c>
      <c r="B681" s="4" t="s">
        <v>1897</v>
      </c>
      <c r="C681" s="4" t="str">
        <f>IFERROR(__xludf.DUMMYFUNCTION("GOOGLETRANSLATE(B681, ""RO"", ""EN"")"),"At this partner job (l) has / had someone subordinated?")</f>
        <v>At this partner job (l) has / had someone subordinated?</v>
      </c>
      <c r="D681" s="5" t="str">
        <f>IFERROR(__xludf.DUMMYFUNCTION("IF(O681&lt;&gt;"""", GOOGLETRANSLATE(O681, ""RO"", ""EN""), """")"),"")</f>
        <v/>
      </c>
      <c r="E681" s="6" t="str">
        <f>IFERROR(__xludf.DUMMYFUNCTION("IF(P681&lt;&gt;"""", GOOGLETRANSLATE(P681, ""RO"", ""EN""), """")"),"Yes")</f>
        <v>Yes</v>
      </c>
      <c r="F681" s="5" t="str">
        <f>IFERROR(__xludf.DUMMYFUNCTION("IF(Q681&lt;&gt;"""", GOOGLETRANSLATE(Q681, ""RO"", ""EN""), """")"),"Not")</f>
        <v>Not</v>
      </c>
      <c r="G681" s="5" t="str">
        <f>IFERROR(__xludf.DUMMYFUNCTION("IF(R681&lt;&gt;"""", GOOGLETRANSLATE(R681, ""RO"", ""EN""), """")"),"")</f>
        <v/>
      </c>
      <c r="H681" s="5" t="str">
        <f>IFERROR(__xludf.DUMMYFUNCTION("IF(U681&lt;&gt;"""", GOOGLETRANSLATE(U681, ""RO"", ""EN""), """")"),"")</f>
        <v/>
      </c>
      <c r="I681" s="5" t="str">
        <f>IFERROR(__xludf.DUMMYFUNCTION("IF(V681&lt;&gt;"""", GOOGLETRANSLATE(V681, ""RO"", ""EN""), """")"),"")</f>
        <v/>
      </c>
      <c r="J681" s="5" t="str">
        <f>IFERROR(__xludf.DUMMYFUNCTION("IF(W681&lt;&gt;"""", GOOGLETRANSLATE(W681, ""RO"", ""EN""), """")"),"")</f>
        <v/>
      </c>
      <c r="K681" s="5" t="str">
        <f>IFERROR(__xludf.DUMMYFUNCTION("IF(X681&lt;&gt;"""", GOOGLETRANSLATE(X681, ""RO"", ""EN""), """")"),"NC (children, students / students, housewives)")</f>
        <v>NC (children, students / students, housewives)</v>
      </c>
      <c r="L681" s="5" t="str">
        <f>IFERROR(__xludf.DUMMYFUNCTION("IF(S681&lt;&gt;"""", GOOGLETRANSLATE(S681, ""RO"", ""EN""), """")"),"Ns")</f>
        <v>Ns</v>
      </c>
      <c r="M681" s="5" t="str">
        <f>IFERROR(__xludf.DUMMYFUNCTION("IF(T681&lt;&gt;"""", GOOGLETRANSLATE(T681, ""RO"", ""EN""), """")"),"No.")</f>
        <v>No.</v>
      </c>
      <c r="N681" s="5" t="str">
        <f>IFERROR(__xludf.DUMMYFUNCTION("IF(Y681&lt;&gt;"""", GOOGLETRANSLATE(Y681, ""RO"", ""EN""), """")"),"")</f>
        <v/>
      </c>
      <c r="P681" s="4" t="s">
        <v>639</v>
      </c>
      <c r="Q681" s="4" t="s">
        <v>640</v>
      </c>
      <c r="S681" s="4" t="s">
        <v>103</v>
      </c>
      <c r="T681" s="4" t="s">
        <v>104</v>
      </c>
      <c r="X681" s="4" t="s">
        <v>1895</v>
      </c>
    </row>
    <row r="682" ht="15.75" customHeight="1">
      <c r="A682" s="4" t="s">
        <v>1898</v>
      </c>
      <c r="B682" s="4" t="s">
        <v>1899</v>
      </c>
      <c r="C682" s="4" t="str">
        <f>IFERROR(__xludf.DUMMYFUNCTION("GOOGLETRANSLATE(B682, ""RO"", ""EN"")"),"How often do you go to church?")</f>
        <v>How often do you go to church?</v>
      </c>
      <c r="D682" s="5" t="str">
        <f>IFERROR(__xludf.DUMMYFUNCTION("IF(O682&lt;&gt;"""", GOOGLETRANSLATE(O682, ""RO"", ""EN""), """")"),"")</f>
        <v/>
      </c>
      <c r="E682" s="6" t="str">
        <f>IFERROR(__xludf.DUMMYFUNCTION("IF(P682&lt;&gt;"""", GOOGLETRANSLATE(P682, ""RO"", ""EN""), """")"),"Never")</f>
        <v>Never</v>
      </c>
      <c r="F682" s="5" t="str">
        <f>IFERROR(__xludf.DUMMYFUNCTION("IF(Q682&lt;&gt;"""", GOOGLETRANSLATE(Q682, ""RO"", ""EN""), """")"),"Once a year")</f>
        <v>Once a year</v>
      </c>
      <c r="G682" s="5" t="str">
        <f>IFERROR(__xludf.DUMMYFUNCTION("IF(R682&lt;&gt;"""", GOOGLETRANSLATE(R682, ""RO"", ""EN""), """")"),"2 - 11 times a year")</f>
        <v>2 - 11 times a year</v>
      </c>
      <c r="H682" s="5" t="str">
        <f>IFERROR(__xludf.DUMMYFUNCTION("IF(U682&lt;&gt;"""", GOOGLETRANSLATE(U682, ""RO"", ""EN""), """")"),"Monthly")</f>
        <v>Monthly</v>
      </c>
      <c r="I682" s="5" t="str">
        <f>IFERROR(__xludf.DUMMYFUNCTION("IF(V682&lt;&gt;"""", GOOGLETRANSLATE(V682, ""RO"", ""EN""), """")"),"Two or more times a month")</f>
        <v>Two or more times a month</v>
      </c>
      <c r="J682" s="5" t="str">
        <f>IFERROR(__xludf.DUMMYFUNCTION("IF(W682&lt;&gt;"""", GOOGLETRANSLATE(W682, ""RO"", ""EN""), """")"),"Weekly or more often")</f>
        <v>Weekly or more often</v>
      </c>
      <c r="K682" s="5" t="str">
        <f>IFERROR(__xludf.DUMMYFUNCTION("IF(X682&lt;&gt;"""", GOOGLETRANSLATE(X682, ""RO"", ""EN""), """")"),"")</f>
        <v/>
      </c>
      <c r="L682" s="5" t="str">
        <f>IFERROR(__xludf.DUMMYFUNCTION("IF(S682&lt;&gt;"""", GOOGLETRANSLATE(S682, ""RO"", ""EN""), """")"),"Ns")</f>
        <v>Ns</v>
      </c>
      <c r="M682" s="5" t="str">
        <f>IFERROR(__xludf.DUMMYFUNCTION("IF(T682&lt;&gt;"""", GOOGLETRANSLATE(T682, ""RO"", ""EN""), """")"),"No.")</f>
        <v>No.</v>
      </c>
      <c r="N682" s="5" t="str">
        <f>IFERROR(__xludf.DUMMYFUNCTION("IF(Y682&lt;&gt;"""", GOOGLETRANSLATE(Y682, ""RO"", ""EN""), """")"),"")</f>
        <v/>
      </c>
      <c r="P682" s="4" t="s">
        <v>282</v>
      </c>
      <c r="Q682" s="4" t="s">
        <v>933</v>
      </c>
      <c r="R682" s="4" t="s">
        <v>1900</v>
      </c>
      <c r="S682" s="4" t="s">
        <v>103</v>
      </c>
      <c r="T682" s="4" t="s">
        <v>104</v>
      </c>
      <c r="U682" s="4" t="s">
        <v>936</v>
      </c>
      <c r="V682" s="4" t="s">
        <v>1901</v>
      </c>
      <c r="W682" s="4" t="s">
        <v>1902</v>
      </c>
    </row>
    <row r="683" ht="15.75" customHeight="1">
      <c r="A683" s="4" t="s">
        <v>1903</v>
      </c>
      <c r="B683" s="4" t="s">
        <v>1904</v>
      </c>
      <c r="C683" s="4" t="str">
        <f>IFERROR(__xludf.DUMMYFUNCTION("GOOGLETRANSLATE(B683, ""RO"", ""EN"")"),"Would you tell about yourself as ...?")</f>
        <v>Would you tell about yourself as ...?</v>
      </c>
      <c r="D683" s="5" t="str">
        <f>IFERROR(__xludf.DUMMYFUNCTION("IF(O683&lt;&gt;"""", GOOGLETRANSLATE(O683, ""RO"", ""EN""), """")"),"")</f>
        <v/>
      </c>
      <c r="E683" s="6" t="str">
        <f>IFERROR(__xludf.DUMMYFUNCTION("IF(P683&lt;&gt;"""", GOOGLETRANSLATE(P683, ""RO"", ""EN""), """")"),"You are not religious")</f>
        <v>You are not religious</v>
      </c>
      <c r="F683" s="5" t="str">
        <f>IFERROR(__xludf.DUMMYFUNCTION("IF(Q683&lt;&gt;"""", GOOGLETRANSLATE(Q683, ""RO"", ""EN""), """")"),"You are not too religious")</f>
        <v>You are not too religious</v>
      </c>
      <c r="G683" s="5" t="str">
        <f>IFERROR(__xludf.DUMMYFUNCTION("IF(R683&lt;&gt;"""", GOOGLETRANSLATE(R683, ""RO"", ""EN""), """")"),"You are somewhat religious")</f>
        <v>You are somewhat religious</v>
      </c>
      <c r="H683" s="5" t="str">
        <f>IFERROR(__xludf.DUMMYFUNCTION("IF(U683&lt;&gt;"""", GOOGLETRANSLATE(U683, ""RO"", ""EN""), """")"),"You are very religious")</f>
        <v>You are very religious</v>
      </c>
      <c r="I683" s="5" t="str">
        <f>IFERROR(__xludf.DUMMYFUNCTION("IF(V683&lt;&gt;"""", GOOGLETRANSLATE(V683, ""RO"", ""EN""), """")"),"")</f>
        <v/>
      </c>
      <c r="J683" s="5" t="str">
        <f>IFERROR(__xludf.DUMMYFUNCTION("IF(W683&lt;&gt;"""", GOOGLETRANSLATE(W683, ""RO"", ""EN""), """")"),"")</f>
        <v/>
      </c>
      <c r="K683" s="5" t="str">
        <f>IFERROR(__xludf.DUMMYFUNCTION("IF(X683&lt;&gt;"""", GOOGLETRANSLATE(X683, ""RO"", ""EN""), """")"),"")</f>
        <v/>
      </c>
      <c r="L683" s="5" t="str">
        <f>IFERROR(__xludf.DUMMYFUNCTION("IF(S683&lt;&gt;"""", GOOGLETRANSLATE(S683, ""RO"", ""EN""), """")"),"Ns")</f>
        <v>Ns</v>
      </c>
      <c r="M683" s="5" t="str">
        <f>IFERROR(__xludf.DUMMYFUNCTION("IF(T683&lt;&gt;"""", GOOGLETRANSLATE(T683, ""RO"", ""EN""), """")"),"No.")</f>
        <v>No.</v>
      </c>
      <c r="N683" s="5" t="str">
        <f>IFERROR(__xludf.DUMMYFUNCTION("IF(Y683&lt;&gt;"""", GOOGLETRANSLATE(Y683, ""RO"", ""EN""), """")"),"")</f>
        <v/>
      </c>
      <c r="P683" s="4" t="s">
        <v>1905</v>
      </c>
      <c r="Q683" s="4" t="s">
        <v>1906</v>
      </c>
      <c r="R683" s="4" t="s">
        <v>1907</v>
      </c>
      <c r="S683" s="4" t="s">
        <v>103</v>
      </c>
      <c r="T683" s="4" t="s">
        <v>104</v>
      </c>
      <c r="U683" s="4" t="s">
        <v>1908</v>
      </c>
    </row>
    <row r="684" ht="15.75" customHeight="1">
      <c r="A684" s="4" t="s">
        <v>1909</v>
      </c>
      <c r="B684" s="4" t="s">
        <v>1910</v>
      </c>
      <c r="C684" s="4" t="str">
        <f>IFERROR(__xludf.DUMMYFUNCTION("GOOGLETRANSLATE(B684, ""RO"", ""EN"")"),"In what languages ​​do you speak in the family, with the other family members? ROMANIAN")</f>
        <v>In what languages ​​do you speak in the family, with the other family members? ROMANIAN</v>
      </c>
      <c r="D684" s="5" t="str">
        <f>IFERROR(__xludf.DUMMYFUNCTION("IF(O684&lt;&gt;"""", GOOGLETRANSLATE(O684, ""RO"", ""EN""), """")"),"")</f>
        <v/>
      </c>
      <c r="E684" s="6" t="str">
        <f>IFERROR(__xludf.DUMMYFUNCTION("IF(P684&lt;&gt;"""", GOOGLETRANSLATE(P684, ""RO"", ""EN""), """")"),"mentioned")</f>
        <v>mentioned</v>
      </c>
      <c r="F684" s="5" t="str">
        <f>IFERROR(__xludf.DUMMYFUNCTION("IF(Q684&lt;&gt;"""", GOOGLETRANSLATE(Q684, ""RO"", ""EN""), """")"),"not mentioned")</f>
        <v>not mentioned</v>
      </c>
      <c r="G684" s="5" t="str">
        <f>IFERROR(__xludf.DUMMYFUNCTION("IF(R684&lt;&gt;"""", GOOGLETRANSLATE(R684, ""RO"", ""EN""), """")"),"")</f>
        <v/>
      </c>
      <c r="H684" s="5" t="str">
        <f>IFERROR(__xludf.DUMMYFUNCTION("IF(U684&lt;&gt;"""", GOOGLETRANSLATE(U684, ""RO"", ""EN""), """")"),"")</f>
        <v/>
      </c>
      <c r="I684" s="5" t="str">
        <f>IFERROR(__xludf.DUMMYFUNCTION("IF(V684&lt;&gt;"""", GOOGLETRANSLATE(V684, ""RO"", ""EN""), """")"),"")</f>
        <v/>
      </c>
      <c r="J684" s="5" t="str">
        <f>IFERROR(__xludf.DUMMYFUNCTION("IF(W684&lt;&gt;"""", GOOGLETRANSLATE(W684, ""RO"", ""EN""), """")"),"")</f>
        <v/>
      </c>
      <c r="K684" s="5" t="str">
        <f>IFERROR(__xludf.DUMMYFUNCTION("IF(X684&lt;&gt;"""", GOOGLETRANSLATE(X684, ""RO"", ""EN""), """")"),"")</f>
        <v/>
      </c>
      <c r="L684" s="5" t="str">
        <f>IFERROR(__xludf.DUMMYFUNCTION("IF(S684&lt;&gt;"""", GOOGLETRANSLATE(S684, ""RO"", ""EN""), """")"),"Ns")</f>
        <v>Ns</v>
      </c>
      <c r="M684" s="5" t="str">
        <f>IFERROR(__xludf.DUMMYFUNCTION("IF(T684&lt;&gt;"""", GOOGLETRANSLATE(T684, ""RO"", ""EN""), """")"),"No.")</f>
        <v>No.</v>
      </c>
      <c r="N684" s="5" t="str">
        <f>IFERROR(__xludf.DUMMYFUNCTION("IF(Y684&lt;&gt;"""", GOOGLETRANSLATE(Y684, ""RO"", ""EN""), """")"),"")</f>
        <v/>
      </c>
      <c r="P684" s="4" t="s">
        <v>1911</v>
      </c>
      <c r="Q684" s="4" t="s">
        <v>1912</v>
      </c>
      <c r="S684" s="4" t="s">
        <v>103</v>
      </c>
      <c r="T684" s="4" t="s">
        <v>104</v>
      </c>
    </row>
    <row r="685" ht="15.75" customHeight="1">
      <c r="A685" s="4" t="s">
        <v>1913</v>
      </c>
      <c r="B685" s="4" t="s">
        <v>811</v>
      </c>
      <c r="C685" s="4" t="str">
        <f>IFERROR(__xludf.DUMMYFUNCTION("GOOGLETRANSLATE(B685, ""RO"", ""EN"")"),"Hungarian")</f>
        <v>Hungarian</v>
      </c>
      <c r="D685" s="5" t="str">
        <f>IFERROR(__xludf.DUMMYFUNCTION("IF(O685&lt;&gt;"""", GOOGLETRANSLATE(O685, ""RO"", ""EN""), """")"),"")</f>
        <v/>
      </c>
      <c r="E685" s="6" t="str">
        <f>IFERROR(__xludf.DUMMYFUNCTION("IF(P685&lt;&gt;"""", GOOGLETRANSLATE(P685, ""RO"", ""EN""), """")"),"mentioned")</f>
        <v>mentioned</v>
      </c>
      <c r="F685" s="5" t="str">
        <f>IFERROR(__xludf.DUMMYFUNCTION("IF(Q685&lt;&gt;"""", GOOGLETRANSLATE(Q685, ""RO"", ""EN""), """")"),"not mentioned")</f>
        <v>not mentioned</v>
      </c>
      <c r="G685" s="5" t="str">
        <f>IFERROR(__xludf.DUMMYFUNCTION("IF(R685&lt;&gt;"""", GOOGLETRANSLATE(R685, ""RO"", ""EN""), """")"),"")</f>
        <v/>
      </c>
      <c r="H685" s="5" t="str">
        <f>IFERROR(__xludf.DUMMYFUNCTION("IF(U685&lt;&gt;"""", GOOGLETRANSLATE(U685, ""RO"", ""EN""), """")"),"")</f>
        <v/>
      </c>
      <c r="I685" s="5" t="str">
        <f>IFERROR(__xludf.DUMMYFUNCTION("IF(V685&lt;&gt;"""", GOOGLETRANSLATE(V685, ""RO"", ""EN""), """")"),"")</f>
        <v/>
      </c>
      <c r="J685" s="5" t="str">
        <f>IFERROR(__xludf.DUMMYFUNCTION("IF(W685&lt;&gt;"""", GOOGLETRANSLATE(W685, ""RO"", ""EN""), """")"),"")</f>
        <v/>
      </c>
      <c r="K685" s="5" t="str">
        <f>IFERROR(__xludf.DUMMYFUNCTION("IF(X685&lt;&gt;"""", GOOGLETRANSLATE(X685, ""RO"", ""EN""), """")"),"")</f>
        <v/>
      </c>
      <c r="L685" s="5" t="str">
        <f>IFERROR(__xludf.DUMMYFUNCTION("IF(S685&lt;&gt;"""", GOOGLETRANSLATE(S685, ""RO"", ""EN""), """")"),"Ns")</f>
        <v>Ns</v>
      </c>
      <c r="M685" s="5" t="str">
        <f>IFERROR(__xludf.DUMMYFUNCTION("IF(T685&lt;&gt;"""", GOOGLETRANSLATE(T685, ""RO"", ""EN""), """")"),"No.")</f>
        <v>No.</v>
      </c>
      <c r="N685" s="5" t="str">
        <f>IFERROR(__xludf.DUMMYFUNCTION("IF(Y685&lt;&gt;"""", GOOGLETRANSLATE(Y685, ""RO"", ""EN""), """")"),"")</f>
        <v/>
      </c>
      <c r="P685" s="4" t="s">
        <v>1911</v>
      </c>
      <c r="Q685" s="4" t="s">
        <v>1912</v>
      </c>
      <c r="S685" s="4" t="s">
        <v>103</v>
      </c>
      <c r="T685" s="4" t="s">
        <v>104</v>
      </c>
    </row>
    <row r="686" ht="15.75" customHeight="1">
      <c r="A686" s="4" t="s">
        <v>1914</v>
      </c>
      <c r="B686" s="4" t="s">
        <v>1915</v>
      </c>
      <c r="C686" s="4" t="str">
        <f>IFERROR(__xludf.DUMMYFUNCTION("GOOGLETRANSLATE(B686, ""RO"", ""EN"")"),"Romani/Romanian")</f>
        <v>Romani/Romanian</v>
      </c>
      <c r="D686" s="5" t="str">
        <f>IFERROR(__xludf.DUMMYFUNCTION("IF(O686&lt;&gt;"""", GOOGLETRANSLATE(O686, ""RO"", ""EN""), """")"),"")</f>
        <v/>
      </c>
      <c r="E686" s="6" t="str">
        <f>IFERROR(__xludf.DUMMYFUNCTION("IF(P686&lt;&gt;"""", GOOGLETRANSLATE(P686, ""RO"", ""EN""), """")"),"mentioned")</f>
        <v>mentioned</v>
      </c>
      <c r="F686" s="5" t="str">
        <f>IFERROR(__xludf.DUMMYFUNCTION("IF(Q686&lt;&gt;"""", GOOGLETRANSLATE(Q686, ""RO"", ""EN""), """")"),"not mentioned")</f>
        <v>not mentioned</v>
      </c>
      <c r="G686" s="5" t="str">
        <f>IFERROR(__xludf.DUMMYFUNCTION("IF(R686&lt;&gt;"""", GOOGLETRANSLATE(R686, ""RO"", ""EN""), """")"),"")</f>
        <v/>
      </c>
      <c r="H686" s="5" t="str">
        <f>IFERROR(__xludf.DUMMYFUNCTION("IF(U686&lt;&gt;"""", GOOGLETRANSLATE(U686, ""RO"", ""EN""), """")"),"")</f>
        <v/>
      </c>
      <c r="I686" s="5" t="str">
        <f>IFERROR(__xludf.DUMMYFUNCTION("IF(V686&lt;&gt;"""", GOOGLETRANSLATE(V686, ""RO"", ""EN""), """")"),"")</f>
        <v/>
      </c>
      <c r="J686" s="5" t="str">
        <f>IFERROR(__xludf.DUMMYFUNCTION("IF(W686&lt;&gt;"""", GOOGLETRANSLATE(W686, ""RO"", ""EN""), """")"),"")</f>
        <v/>
      </c>
      <c r="K686" s="5" t="str">
        <f>IFERROR(__xludf.DUMMYFUNCTION("IF(X686&lt;&gt;"""", GOOGLETRANSLATE(X686, ""RO"", ""EN""), """")"),"")</f>
        <v/>
      </c>
      <c r="L686" s="5" t="str">
        <f>IFERROR(__xludf.DUMMYFUNCTION("IF(S686&lt;&gt;"""", GOOGLETRANSLATE(S686, ""RO"", ""EN""), """")"),"Ns")</f>
        <v>Ns</v>
      </c>
      <c r="M686" s="5" t="str">
        <f>IFERROR(__xludf.DUMMYFUNCTION("IF(T686&lt;&gt;"""", GOOGLETRANSLATE(T686, ""RO"", ""EN""), """")"),"No.")</f>
        <v>No.</v>
      </c>
      <c r="N686" s="5" t="str">
        <f>IFERROR(__xludf.DUMMYFUNCTION("IF(Y686&lt;&gt;"""", GOOGLETRANSLATE(Y686, ""RO"", ""EN""), """")"),"")</f>
        <v/>
      </c>
      <c r="P686" s="4" t="s">
        <v>1911</v>
      </c>
      <c r="Q686" s="4" t="s">
        <v>1912</v>
      </c>
      <c r="S686" s="4" t="s">
        <v>103</v>
      </c>
      <c r="T686" s="4" t="s">
        <v>104</v>
      </c>
    </row>
    <row r="687" ht="15.75" customHeight="1">
      <c r="A687" s="4" t="s">
        <v>1916</v>
      </c>
      <c r="B687" s="4" t="s">
        <v>814</v>
      </c>
      <c r="C687" s="4" t="str">
        <f>IFERROR(__xludf.DUMMYFUNCTION("GOOGLETRANSLATE(B687, ""RO"", ""EN"")"),"other")</f>
        <v>other</v>
      </c>
      <c r="D687" s="5" t="str">
        <f>IFERROR(__xludf.DUMMYFUNCTION("IF(O687&lt;&gt;"""", GOOGLETRANSLATE(O687, ""RO"", ""EN""), """")"),"")</f>
        <v/>
      </c>
      <c r="E687" s="6" t="str">
        <f>IFERROR(__xludf.DUMMYFUNCTION("IF(P687&lt;&gt;"""", GOOGLETRANSLATE(P687, ""RO"", ""EN""), """")"),"mentioned")</f>
        <v>mentioned</v>
      </c>
      <c r="F687" s="5" t="str">
        <f>IFERROR(__xludf.DUMMYFUNCTION("IF(Q687&lt;&gt;"""", GOOGLETRANSLATE(Q687, ""RO"", ""EN""), """")"),"not mentioned")</f>
        <v>not mentioned</v>
      </c>
      <c r="G687" s="5" t="str">
        <f>IFERROR(__xludf.DUMMYFUNCTION("IF(R687&lt;&gt;"""", GOOGLETRANSLATE(R687, ""RO"", ""EN""), """")"),"")</f>
        <v/>
      </c>
      <c r="H687" s="5" t="str">
        <f>IFERROR(__xludf.DUMMYFUNCTION("IF(U687&lt;&gt;"""", GOOGLETRANSLATE(U687, ""RO"", ""EN""), """")"),"")</f>
        <v/>
      </c>
      <c r="I687" s="5" t="str">
        <f>IFERROR(__xludf.DUMMYFUNCTION("IF(V687&lt;&gt;"""", GOOGLETRANSLATE(V687, ""RO"", ""EN""), """")"),"")</f>
        <v/>
      </c>
      <c r="J687" s="5" t="str">
        <f>IFERROR(__xludf.DUMMYFUNCTION("IF(W687&lt;&gt;"""", GOOGLETRANSLATE(W687, ""RO"", ""EN""), """")"),"")</f>
        <v/>
      </c>
      <c r="K687" s="5" t="str">
        <f>IFERROR(__xludf.DUMMYFUNCTION("IF(X687&lt;&gt;"""", GOOGLETRANSLATE(X687, ""RO"", ""EN""), """")"),"")</f>
        <v/>
      </c>
      <c r="L687" s="5" t="str">
        <f>IFERROR(__xludf.DUMMYFUNCTION("IF(S687&lt;&gt;"""", GOOGLETRANSLATE(S687, ""RO"", ""EN""), """")"),"Ns")</f>
        <v>Ns</v>
      </c>
      <c r="M687" s="5" t="str">
        <f>IFERROR(__xludf.DUMMYFUNCTION("IF(T687&lt;&gt;"""", GOOGLETRANSLATE(T687, ""RO"", ""EN""), """")"),"No.")</f>
        <v>No.</v>
      </c>
      <c r="N687" s="5" t="str">
        <f>IFERROR(__xludf.DUMMYFUNCTION("IF(Y687&lt;&gt;"""", GOOGLETRANSLATE(Y687, ""RO"", ""EN""), """")"),"")</f>
        <v/>
      </c>
      <c r="P687" s="4" t="s">
        <v>1911</v>
      </c>
      <c r="Q687" s="4" t="s">
        <v>1912</v>
      </c>
      <c r="S687" s="4" t="s">
        <v>103</v>
      </c>
      <c r="T687" s="4" t="s">
        <v>104</v>
      </c>
    </row>
    <row r="688" ht="15.75" customHeight="1">
      <c r="A688" s="4" t="s">
        <v>1917</v>
      </c>
      <c r="B688" s="4" t="s">
        <v>883</v>
      </c>
      <c r="C688" s="4" t="str">
        <f>IFERROR(__xludf.DUMMYFUNCTION("GOOGLETRANSLATE(B688, ""RO"", ""EN"")"),"How many members is your household made up?")</f>
        <v>How many members is your household made up?</v>
      </c>
      <c r="D688" s="5" t="str">
        <f>IFERROR(__xludf.DUMMYFUNCTION("IF(O688&lt;&gt;"""", GOOGLETRANSLATE(O688, ""RO"", ""EN""), """")"),"")</f>
        <v/>
      </c>
      <c r="E688" s="6" t="str">
        <f>IFERROR(__xludf.DUMMYFUNCTION("IF(P688&lt;&gt;"""", GOOGLETRANSLATE(P688, ""RO"", ""EN""), """")"),"")</f>
        <v/>
      </c>
      <c r="F688" s="5" t="str">
        <f>IFERROR(__xludf.DUMMYFUNCTION("IF(Q688&lt;&gt;"""", GOOGLETRANSLATE(Q688, ""RO"", ""EN""), """")"),"")</f>
        <v/>
      </c>
      <c r="G688" s="5" t="str">
        <f>IFERROR(__xludf.DUMMYFUNCTION("IF(R688&lt;&gt;"""", GOOGLETRANSLATE(R688, ""RO"", ""EN""), """")"),"")</f>
        <v/>
      </c>
      <c r="H688" s="5" t="str">
        <f>IFERROR(__xludf.DUMMYFUNCTION("IF(U688&lt;&gt;"""", GOOGLETRANSLATE(U688, ""RO"", ""EN""), """")"),"")</f>
        <v/>
      </c>
      <c r="I688" s="5" t="str">
        <f>IFERROR(__xludf.DUMMYFUNCTION("IF(V688&lt;&gt;"""", GOOGLETRANSLATE(V688, ""RO"", ""EN""), """")"),"")</f>
        <v/>
      </c>
      <c r="J688" s="5" t="str">
        <f>IFERROR(__xludf.DUMMYFUNCTION("IF(W688&lt;&gt;"""", GOOGLETRANSLATE(W688, ""RO"", ""EN""), """")"),"")</f>
        <v/>
      </c>
      <c r="K688" s="5" t="str">
        <f>IFERROR(__xludf.DUMMYFUNCTION("IF(X688&lt;&gt;"""", GOOGLETRANSLATE(X688, ""RO"", ""EN""), """")"),"")</f>
        <v/>
      </c>
      <c r="L688" s="5" t="str">
        <f>IFERROR(__xludf.DUMMYFUNCTION("IF(S688&lt;&gt;"""", GOOGLETRANSLATE(S688, ""RO"", ""EN""), """")"),"")</f>
        <v/>
      </c>
      <c r="M688" s="5" t="str">
        <f>IFERROR(__xludf.DUMMYFUNCTION("IF(T688&lt;&gt;"""", GOOGLETRANSLATE(T688, ""RO"", ""EN""), """")"),"")</f>
        <v/>
      </c>
      <c r="N688" s="5" t="str">
        <f>IFERROR(__xludf.DUMMYFUNCTION("IF(Y688&lt;&gt;"""", GOOGLETRANSLATE(Y688, ""RO"", ""EN""), """")"),"")</f>
        <v/>
      </c>
      <c r="AB688" s="4" t="s">
        <v>104</v>
      </c>
    </row>
    <row r="689" ht="15.75" customHeight="1">
      <c r="A689" s="4" t="s">
        <v>1918</v>
      </c>
      <c r="B689" s="4" t="s">
        <v>1919</v>
      </c>
      <c r="C689" s="4" t="str">
        <f>IFERROR(__xludf.DUMMYFUNCTION("GOOGLETRANSLATE(B689, ""RO"", ""EN"")"),"Of these, how many are at most 18 years old?")</f>
        <v>Of these, how many are at most 18 years old?</v>
      </c>
      <c r="D689" s="5" t="str">
        <f>IFERROR(__xludf.DUMMYFUNCTION("IF(O689&lt;&gt;"""", GOOGLETRANSLATE(O689, ""RO"", ""EN""), """")"),"")</f>
        <v/>
      </c>
      <c r="E689" s="6" t="str">
        <f>IFERROR(__xludf.DUMMYFUNCTION("IF(P689&lt;&gt;"""", GOOGLETRANSLATE(P689, ""RO"", ""EN""), """")"),"")</f>
        <v/>
      </c>
      <c r="F689" s="5" t="str">
        <f>IFERROR(__xludf.DUMMYFUNCTION("IF(Q689&lt;&gt;"""", GOOGLETRANSLATE(Q689, ""RO"", ""EN""), """")"),"")</f>
        <v/>
      </c>
      <c r="G689" s="5" t="str">
        <f>IFERROR(__xludf.DUMMYFUNCTION("IF(R689&lt;&gt;"""", GOOGLETRANSLATE(R689, ""RO"", ""EN""), """")"),"")</f>
        <v/>
      </c>
      <c r="H689" s="5" t="str">
        <f>IFERROR(__xludf.DUMMYFUNCTION("IF(U689&lt;&gt;"""", GOOGLETRANSLATE(U689, ""RO"", ""EN""), """")"),"")</f>
        <v/>
      </c>
      <c r="I689" s="5" t="str">
        <f>IFERROR(__xludf.DUMMYFUNCTION("IF(V689&lt;&gt;"""", GOOGLETRANSLATE(V689, ""RO"", ""EN""), """")"),"")</f>
        <v/>
      </c>
      <c r="J689" s="5" t="str">
        <f>IFERROR(__xludf.DUMMYFUNCTION("IF(W689&lt;&gt;"""", GOOGLETRANSLATE(W689, ""RO"", ""EN""), """")"),"")</f>
        <v/>
      </c>
      <c r="K689" s="5" t="str">
        <f>IFERROR(__xludf.DUMMYFUNCTION("IF(X689&lt;&gt;"""", GOOGLETRANSLATE(X689, ""RO"", ""EN""), """")"),"")</f>
        <v/>
      </c>
      <c r="L689" s="5" t="str">
        <f>IFERROR(__xludf.DUMMYFUNCTION("IF(S689&lt;&gt;"""", GOOGLETRANSLATE(S689, ""RO"", ""EN""), """")"),"")</f>
        <v/>
      </c>
      <c r="M689" s="5" t="str">
        <f>IFERROR(__xludf.DUMMYFUNCTION("IF(T689&lt;&gt;"""", GOOGLETRANSLATE(T689, ""RO"", ""EN""), """")"),"")</f>
        <v/>
      </c>
      <c r="N689" s="5" t="str">
        <f>IFERROR(__xludf.DUMMYFUNCTION("IF(Y689&lt;&gt;"""", GOOGLETRANSLATE(Y689, ""RO"", ""EN""), """")"),"")</f>
        <v/>
      </c>
      <c r="AB689" s="4" t="s">
        <v>104</v>
      </c>
    </row>
    <row r="690" ht="15.75" customHeight="1">
      <c r="A690" s="4" t="s">
        <v>1920</v>
      </c>
      <c r="B690" s="4" t="s">
        <v>1921</v>
      </c>
      <c r="C690" s="4" t="str">
        <f>IFERROR(__xludf.DUMMYFUNCTION("GOOGLETRANSLATE(B690, ""RO"", ""EN"")"),"Last month (November), the total amount of money obtained by all the members of your household including wages, dividends, rents, sales, etc., was about…")</f>
        <v>Last month (November), the total amount of money obtained by all the members of your household including wages, dividends, rents, sales, etc., was about…</v>
      </c>
      <c r="D690" s="5" t="str">
        <f>IFERROR(__xludf.DUMMYFUNCTION("IF(O690&lt;&gt;"""", GOOGLETRANSLATE(O690, ""RO"", ""EN""), """")"),"no income")</f>
        <v>no income</v>
      </c>
      <c r="E690" s="6" t="str">
        <f>IFERROR(__xludf.DUMMYFUNCTION("IF(P690&lt;&gt;"""", GOOGLETRANSLATE(P690, ""RO"", ""EN""), """")"),"")</f>
        <v/>
      </c>
      <c r="F690" s="5" t="str">
        <f>IFERROR(__xludf.DUMMYFUNCTION("IF(Q690&lt;&gt;"""", GOOGLETRANSLATE(Q690, ""RO"", ""EN""), """")"),"")</f>
        <v/>
      </c>
      <c r="G690" s="5" t="str">
        <f>IFERROR(__xludf.DUMMYFUNCTION("IF(R690&lt;&gt;"""", GOOGLETRANSLATE(R690, ""RO"", ""EN""), """")"),"")</f>
        <v/>
      </c>
      <c r="H690" s="5" t="str">
        <f>IFERROR(__xludf.DUMMYFUNCTION("IF(U690&lt;&gt;"""", GOOGLETRANSLATE(U690, ""RO"", ""EN""), """")"),"")</f>
        <v/>
      </c>
      <c r="I690" s="5" t="str">
        <f>IFERROR(__xludf.DUMMYFUNCTION("IF(V690&lt;&gt;"""", GOOGLETRANSLATE(V690, ""RO"", ""EN""), """")"),"")</f>
        <v/>
      </c>
      <c r="J690" s="5" t="str">
        <f>IFERROR(__xludf.DUMMYFUNCTION("IF(W690&lt;&gt;"""", GOOGLETRANSLATE(W690, ""RO"", ""EN""), """")"),"")</f>
        <v/>
      </c>
      <c r="K690" s="5" t="str">
        <f>IFERROR(__xludf.DUMMYFUNCTION("IF(X690&lt;&gt;"""", GOOGLETRANSLATE(X690, ""RO"", ""EN""), """")"),"")</f>
        <v/>
      </c>
      <c r="L690" s="5" t="str">
        <f>IFERROR(__xludf.DUMMYFUNCTION("IF(S690&lt;&gt;"""", GOOGLETRANSLATE(S690, ""RO"", ""EN""), """")"),"Ns")</f>
        <v>Ns</v>
      </c>
      <c r="M690" s="5" t="str">
        <f>IFERROR(__xludf.DUMMYFUNCTION("IF(T690&lt;&gt;"""", GOOGLETRANSLATE(T690, ""RO"", ""EN""), """")"),"No.")</f>
        <v>No.</v>
      </c>
      <c r="N690" s="5" t="str">
        <f>IFERROR(__xludf.DUMMYFUNCTION("IF(Y690&lt;&gt;"""", GOOGLETRANSLATE(Y690, ""RO"", ""EN""), """")"),"")</f>
        <v/>
      </c>
      <c r="O690" s="4" t="s">
        <v>1922</v>
      </c>
      <c r="S690" s="4" t="s">
        <v>103</v>
      </c>
      <c r="T690" s="4" t="s">
        <v>104</v>
      </c>
    </row>
    <row r="691" ht="15.75" customHeight="1">
      <c r="A691" s="4" t="s">
        <v>1923</v>
      </c>
      <c r="B691" s="4" t="s">
        <v>1924</v>
      </c>
      <c r="C691" s="4" t="str">
        <f>IFERROR(__xludf.DUMMYFUNCTION("GOOGLETRANSLATE(B691, ""RO"", ""EN"")"),"But your personal income last month (November) was about ...?")</f>
        <v>But your personal income last month (November) was about ...?</v>
      </c>
      <c r="D691" s="5" t="str">
        <f>IFERROR(__xludf.DUMMYFUNCTION("IF(O691&lt;&gt;"""", GOOGLETRANSLATE(O691, ""RO"", ""EN""), """")"),"no income")</f>
        <v>no income</v>
      </c>
      <c r="E691" s="6" t="str">
        <f>IFERROR(__xludf.DUMMYFUNCTION("IF(P691&lt;&gt;"""", GOOGLETRANSLATE(P691, ""RO"", ""EN""), """")"),"")</f>
        <v/>
      </c>
      <c r="F691" s="5" t="str">
        <f>IFERROR(__xludf.DUMMYFUNCTION("IF(Q691&lt;&gt;"""", GOOGLETRANSLATE(Q691, ""RO"", ""EN""), """")"),"")</f>
        <v/>
      </c>
      <c r="G691" s="5" t="str">
        <f>IFERROR(__xludf.DUMMYFUNCTION("IF(R691&lt;&gt;"""", GOOGLETRANSLATE(R691, ""RO"", ""EN""), """")"),"")</f>
        <v/>
      </c>
      <c r="H691" s="5" t="str">
        <f>IFERROR(__xludf.DUMMYFUNCTION("IF(U691&lt;&gt;"""", GOOGLETRANSLATE(U691, ""RO"", ""EN""), """")"),"")</f>
        <v/>
      </c>
      <c r="I691" s="5" t="str">
        <f>IFERROR(__xludf.DUMMYFUNCTION("IF(V691&lt;&gt;"""", GOOGLETRANSLATE(V691, ""RO"", ""EN""), """")"),"")</f>
        <v/>
      </c>
      <c r="J691" s="5" t="str">
        <f>IFERROR(__xludf.DUMMYFUNCTION("IF(W691&lt;&gt;"""", GOOGLETRANSLATE(W691, ""RO"", ""EN""), """")"),"")</f>
        <v/>
      </c>
      <c r="K691" s="5" t="str">
        <f>IFERROR(__xludf.DUMMYFUNCTION("IF(X691&lt;&gt;"""", GOOGLETRANSLATE(X691, ""RO"", ""EN""), """")"),"")</f>
        <v/>
      </c>
      <c r="L691" s="5" t="str">
        <f>IFERROR(__xludf.DUMMYFUNCTION("IF(S691&lt;&gt;"""", GOOGLETRANSLATE(S691, ""RO"", ""EN""), """")"),"Ns")</f>
        <v>Ns</v>
      </c>
      <c r="M691" s="5" t="str">
        <f>IFERROR(__xludf.DUMMYFUNCTION("IF(T691&lt;&gt;"""", GOOGLETRANSLATE(T691, ""RO"", ""EN""), """")"),"No.")</f>
        <v>No.</v>
      </c>
      <c r="N691" s="5" t="str">
        <f>IFERROR(__xludf.DUMMYFUNCTION("IF(Y691&lt;&gt;"""", GOOGLETRANSLATE(Y691, ""RO"", ""EN""), """")"),"")</f>
        <v/>
      </c>
      <c r="O691" s="4" t="s">
        <v>1922</v>
      </c>
      <c r="S691" s="4" t="s">
        <v>103</v>
      </c>
      <c r="T691" s="4" t="s">
        <v>104</v>
      </c>
    </row>
    <row r="692" ht="15.75" customHeight="1">
      <c r="A692" s="4" t="s">
        <v>1925</v>
      </c>
      <c r="B692" s="4" t="s">
        <v>1009</v>
      </c>
      <c r="C692" s="4" t="str">
        <f>IFERROR(__xludf.DUMMYFUNCTION("GOOGLETRANSLATE(B692, ""RO"", ""EN"")"),"The home is")</f>
        <v>The home is</v>
      </c>
      <c r="D692" s="5" t="str">
        <f>IFERROR(__xludf.DUMMYFUNCTION("IF(O692&lt;&gt;"""", GOOGLETRANSLATE(O692, ""RO"", ""EN""), """")"),"")</f>
        <v/>
      </c>
      <c r="E692" s="6" t="str">
        <f>IFERROR(__xludf.DUMMYFUNCTION("IF(P692&lt;&gt;"""", GOOGLETRANSLATE(P692, ""RO"", ""EN""), """")"),"in an individual house")</f>
        <v>in an individual house</v>
      </c>
      <c r="F692" s="5" t="str">
        <f>IFERROR(__xludf.DUMMYFUNCTION("IF(Q692&lt;&gt;"""", GOOGLETRANSLATE(Q692, ""RO"", ""EN""), """")"),"In a house with multiple homes")</f>
        <v>In a house with multiple homes</v>
      </c>
      <c r="G692" s="5" t="str">
        <f>IFERROR(__xludf.DUMMYFUNCTION("IF(R692&lt;&gt;"""", GOOGLETRANSLATE(R692, ""RO"", ""EN""), """")"),"in a villa (2-4 apartments)")</f>
        <v>in a villa (2-4 apartments)</v>
      </c>
      <c r="H692" s="5" t="str">
        <f>IFERROR(__xludf.DUMMYFUNCTION("IF(U692&lt;&gt;"""", GOOGLETRANSLATE(U692, ""RO"", ""EN""), """")"),"in a block of comfort I or ii")</f>
        <v>in a block of comfort I or ii</v>
      </c>
      <c r="I692" s="5" t="str">
        <f>IFERROR(__xludf.DUMMYFUNCTION("IF(V692&lt;&gt;"""", GOOGLETRANSLATE(V692, ""RO"", ""EN""), """")"),"in a comfort block III, IV or former non-family home")</f>
        <v>in a comfort block III, IV or former non-family home</v>
      </c>
      <c r="J692" s="5" t="str">
        <f>IFERROR(__xludf.DUMMYFUNCTION("IF(W692&lt;&gt;"""", GOOGLETRANSLATE(W692, ""RO"", ""EN""), """")"),"in abandoned homes")</f>
        <v>in abandoned homes</v>
      </c>
      <c r="K692" s="5" t="str">
        <f>IFERROR(__xludf.DUMMYFUNCTION("IF(X692&lt;&gt;"""", GOOGLETRANSLATE(X692, ""RO"", ""EN""), """")"),"in an improvised home")</f>
        <v>in an improvised home</v>
      </c>
      <c r="L692" s="5" t="str">
        <f>IFERROR(__xludf.DUMMYFUNCTION("IF(S692&lt;&gt;"""", GOOGLETRANSLATE(S692, ""RO"", ""EN""), """")"),"")</f>
        <v/>
      </c>
      <c r="M692" s="5" t="str">
        <f>IFERROR(__xludf.DUMMYFUNCTION("IF(T692&lt;&gt;"""", GOOGLETRANSLATE(T692, ""RO"", ""EN""), """")"),"")</f>
        <v/>
      </c>
      <c r="N692" s="5" t="str">
        <f>IFERROR(__xludf.DUMMYFUNCTION("IF(Y692&lt;&gt;"""", GOOGLETRANSLATE(Y692, ""RO"", ""EN""), """")"),"")</f>
        <v/>
      </c>
      <c r="P692" s="4" t="s">
        <v>1010</v>
      </c>
      <c r="Q692" s="4" t="s">
        <v>1011</v>
      </c>
      <c r="R692" s="4" t="s">
        <v>1012</v>
      </c>
      <c r="U692" s="4" t="s">
        <v>1013</v>
      </c>
      <c r="V692" s="4" t="s">
        <v>1014</v>
      </c>
      <c r="W692" s="4" t="s">
        <v>1015</v>
      </c>
      <c r="X692" s="4" t="s">
        <v>1016</v>
      </c>
    </row>
    <row r="693" ht="15.75" customHeight="1">
      <c r="A693" s="4" t="s">
        <v>1926</v>
      </c>
      <c r="B693" s="4" t="s">
        <v>1018</v>
      </c>
      <c r="C693" s="4" t="str">
        <f>IFERROR(__xludf.DUMMYFUNCTION("GOOGLETRANSLATE(B693, ""RO"", ""EN"")"),"The home is located ...")</f>
        <v>The home is located ...</v>
      </c>
      <c r="D693" s="5" t="str">
        <f>IFERROR(__xludf.DUMMYFUNCTION("IF(O693&lt;&gt;"""", GOOGLETRANSLATE(O693, ""RO"", ""EN""), """")"),"")</f>
        <v/>
      </c>
      <c r="E693" s="6" t="str">
        <f>IFERROR(__xludf.DUMMYFUNCTION("IF(P693&lt;&gt;"""", GOOGLETRANSLATE(P693, ""RO"", ""EN""), """")"),"In a central area of ​​the village/city")</f>
        <v>In a central area of ​​the village/city</v>
      </c>
      <c r="F693" s="5" t="str">
        <f>IFERROR(__xludf.DUMMYFUNCTION("IF(Q693&lt;&gt;"""", GOOGLETRANSLATE(Q693, ""RO"", ""EN""), """")"),"In an area at the edge of the village/city")</f>
        <v>In an area at the edge of the village/city</v>
      </c>
      <c r="G693" s="5" t="str">
        <f>IFERROR(__xludf.DUMMYFUNCTION("IF(R693&lt;&gt;"""", GOOGLETRANSLATE(R693, ""RO"", ""EN""), """")"),"In the other area of ​​village/city")</f>
        <v>In the other area of ​​village/city</v>
      </c>
      <c r="H693" s="5" t="str">
        <f>IFERROR(__xludf.DUMMYFUNCTION("IF(U693&lt;&gt;"""", GOOGLETRANSLATE(U693, ""RO"", ""EN""), """")"),"")</f>
        <v/>
      </c>
      <c r="I693" s="5" t="str">
        <f>IFERROR(__xludf.DUMMYFUNCTION("IF(V693&lt;&gt;"""", GOOGLETRANSLATE(V693, ""RO"", ""EN""), """")"),"")</f>
        <v/>
      </c>
      <c r="J693" s="5" t="str">
        <f>IFERROR(__xludf.DUMMYFUNCTION("IF(W693&lt;&gt;"""", GOOGLETRANSLATE(W693, ""RO"", ""EN""), """")"),"")</f>
        <v/>
      </c>
      <c r="K693" s="5" t="str">
        <f>IFERROR(__xludf.DUMMYFUNCTION("IF(X693&lt;&gt;"""", GOOGLETRANSLATE(X693, ""RO"", ""EN""), """")"),"")</f>
        <v/>
      </c>
      <c r="L693" s="5" t="str">
        <f>IFERROR(__xludf.DUMMYFUNCTION("IF(S693&lt;&gt;"""", GOOGLETRANSLATE(S693, ""RO"", ""EN""), """")"),"")</f>
        <v/>
      </c>
      <c r="M693" s="5" t="str">
        <f>IFERROR(__xludf.DUMMYFUNCTION("IF(T693&lt;&gt;"""", GOOGLETRANSLATE(T693, ""RO"", ""EN""), """")"),"")</f>
        <v/>
      </c>
      <c r="N693" s="5" t="str">
        <f>IFERROR(__xludf.DUMMYFUNCTION("IF(Y693&lt;&gt;"""", GOOGLETRANSLATE(Y693, ""RO"", ""EN""), """")"),"")</f>
        <v/>
      </c>
      <c r="P693" s="4" t="s">
        <v>1019</v>
      </c>
      <c r="Q693" s="4" t="s">
        <v>1020</v>
      </c>
      <c r="R693" s="4" t="s">
        <v>1021</v>
      </c>
    </row>
    <row r="694" ht="15.75" customHeight="1">
      <c r="A694" s="4" t="s">
        <v>1927</v>
      </c>
      <c r="B694" s="4" t="s">
        <v>1928</v>
      </c>
      <c r="C694" s="4" t="str">
        <f>IFERROR(__xludf.DUMMYFUNCTION("GOOGLETRANSLATE(B694, ""RO"", ""EN"")"),"Voting section")</f>
        <v>Voting section</v>
      </c>
      <c r="D694" s="5" t="str">
        <f>IFERROR(__xludf.DUMMYFUNCTION("IF(O694&lt;&gt;"""", GOOGLETRANSLATE(O694, ""RO"", ""EN""), """")"),"")</f>
        <v/>
      </c>
      <c r="E694" s="6" t="str">
        <f>IFERROR(__xludf.DUMMYFUNCTION("IF(P694&lt;&gt;"""", GOOGLETRANSLATE(P694, ""RO"", ""EN""), """")"),"")</f>
        <v/>
      </c>
      <c r="F694" s="5" t="str">
        <f>IFERROR(__xludf.DUMMYFUNCTION("IF(Q694&lt;&gt;"""", GOOGLETRANSLATE(Q694, ""RO"", ""EN""), """")"),"")</f>
        <v/>
      </c>
      <c r="G694" s="5" t="str">
        <f>IFERROR(__xludf.DUMMYFUNCTION("IF(R694&lt;&gt;"""", GOOGLETRANSLATE(R694, ""RO"", ""EN""), """")"),"")</f>
        <v/>
      </c>
      <c r="H694" s="5" t="str">
        <f>IFERROR(__xludf.DUMMYFUNCTION("IF(U694&lt;&gt;"""", GOOGLETRANSLATE(U694, ""RO"", ""EN""), """")"),"")</f>
        <v/>
      </c>
      <c r="I694" s="5" t="str">
        <f>IFERROR(__xludf.DUMMYFUNCTION("IF(V694&lt;&gt;"""", GOOGLETRANSLATE(V694, ""RO"", ""EN""), """")"),"")</f>
        <v/>
      </c>
      <c r="J694" s="5" t="str">
        <f>IFERROR(__xludf.DUMMYFUNCTION("IF(W694&lt;&gt;"""", GOOGLETRANSLATE(W694, ""RO"", ""EN""), """")"),"")</f>
        <v/>
      </c>
      <c r="K694" s="5" t="str">
        <f>IFERROR(__xludf.DUMMYFUNCTION("IF(X694&lt;&gt;"""", GOOGLETRANSLATE(X694, ""RO"", ""EN""), """")"),"")</f>
        <v/>
      </c>
      <c r="L694" s="5" t="str">
        <f>IFERROR(__xludf.DUMMYFUNCTION("IF(S694&lt;&gt;"""", GOOGLETRANSLATE(S694, ""RO"", ""EN""), """")"),"")</f>
        <v/>
      </c>
      <c r="M694" s="5" t="str">
        <f>IFERROR(__xludf.DUMMYFUNCTION("IF(T694&lt;&gt;"""", GOOGLETRANSLATE(T694, ""RO"", ""EN""), """")"),"")</f>
        <v/>
      </c>
      <c r="N694" s="5" t="str">
        <f>IFERROR(__xludf.DUMMYFUNCTION("IF(Y694&lt;&gt;"""", GOOGLETRANSLATE(Y694, ""RO"", ""EN""), """")"),"")</f>
        <v/>
      </c>
    </row>
    <row r="695" ht="15.75" customHeight="1">
      <c r="A695" s="4" t="s">
        <v>1929</v>
      </c>
      <c r="B695" s="4" t="s">
        <v>1930</v>
      </c>
      <c r="C695" s="4" t="str">
        <f>IFERROR(__xludf.DUMMYFUNCTION("GOOGLETRANSLATE(B695, ""RO"", ""EN"")"),"During the application of the questionnaire (part of it) was there (a)/did another person assisted at the interview? wife / husband (or similar)")</f>
        <v>During the application of the questionnaire (part of it) was there (a)/did another person assisted at the interview? wife / husband (or similar)</v>
      </c>
      <c r="D695" s="5" t="str">
        <f>IFERROR(__xludf.DUMMYFUNCTION("IF(O695&lt;&gt;"""", GOOGLETRANSLATE(O695, ""RO"", ""EN""), """")"),"")</f>
        <v/>
      </c>
      <c r="E695" s="6" t="str">
        <f>IFERROR(__xludf.DUMMYFUNCTION("IF(P695&lt;&gt;"""", GOOGLETRANSLATE(P695, ""RO"", ""EN""), """")"),"Yes")</f>
        <v>Yes</v>
      </c>
      <c r="F695" s="5" t="str">
        <f>IFERROR(__xludf.DUMMYFUNCTION("IF(Q695&lt;&gt;"""", GOOGLETRANSLATE(Q695, ""RO"", ""EN""), """")"),"Not")</f>
        <v>Not</v>
      </c>
      <c r="G695" s="5" t="str">
        <f>IFERROR(__xludf.DUMMYFUNCTION("IF(R695&lt;&gt;"""", GOOGLETRANSLATE(R695, ""RO"", ""EN""), """")"),"")</f>
        <v/>
      </c>
      <c r="H695" s="5" t="str">
        <f>IFERROR(__xludf.DUMMYFUNCTION("IF(U695&lt;&gt;"""", GOOGLETRANSLATE(U695, ""RO"", ""EN""), """")"),"")</f>
        <v/>
      </c>
      <c r="I695" s="5" t="str">
        <f>IFERROR(__xludf.DUMMYFUNCTION("IF(V695&lt;&gt;"""", GOOGLETRANSLATE(V695, ""RO"", ""EN""), """")"),"")</f>
        <v/>
      </c>
      <c r="J695" s="5" t="str">
        <f>IFERROR(__xludf.DUMMYFUNCTION("IF(W695&lt;&gt;"""", GOOGLETRANSLATE(W695, ""RO"", ""EN""), """")"),"")</f>
        <v/>
      </c>
      <c r="K695" s="5" t="str">
        <f>IFERROR(__xludf.DUMMYFUNCTION("IF(X695&lt;&gt;"""", GOOGLETRANSLATE(X695, ""RO"", ""EN""), """")"),"")</f>
        <v/>
      </c>
      <c r="L695" s="5" t="str">
        <f>IFERROR(__xludf.DUMMYFUNCTION("IF(S695&lt;&gt;"""", GOOGLETRANSLATE(S695, ""RO"", ""EN""), """")"),"")</f>
        <v/>
      </c>
      <c r="M695" s="5" t="str">
        <f>IFERROR(__xludf.DUMMYFUNCTION("IF(T695&lt;&gt;"""", GOOGLETRANSLATE(T695, ""RO"", ""EN""), """")"),"")</f>
        <v/>
      </c>
      <c r="N695" s="5" t="str">
        <f>IFERROR(__xludf.DUMMYFUNCTION("IF(Y695&lt;&gt;"""", GOOGLETRANSLATE(Y695, ""RO"", ""EN""), """")"),"")</f>
        <v/>
      </c>
      <c r="P695" s="4" t="s">
        <v>639</v>
      </c>
      <c r="Q695" s="4" t="s">
        <v>640</v>
      </c>
    </row>
    <row r="696" ht="15.75" customHeight="1">
      <c r="A696" s="4" t="s">
        <v>1931</v>
      </c>
      <c r="B696" s="4" t="s">
        <v>1032</v>
      </c>
      <c r="C696" s="4" t="str">
        <f>IFERROR(__xludf.DUMMYFUNCTION("GOOGLETRANSLATE(B696, ""RO"", ""EN"")"),"mother father")</f>
        <v>mother father</v>
      </c>
      <c r="D696" s="5" t="str">
        <f>IFERROR(__xludf.DUMMYFUNCTION("IF(O696&lt;&gt;"""", GOOGLETRANSLATE(O696, ""RO"", ""EN""), """")"),"")</f>
        <v/>
      </c>
      <c r="E696" s="6" t="str">
        <f>IFERROR(__xludf.DUMMYFUNCTION("IF(P696&lt;&gt;"""", GOOGLETRANSLATE(P696, ""RO"", ""EN""), """")"),"Yes")</f>
        <v>Yes</v>
      </c>
      <c r="F696" s="5" t="str">
        <f>IFERROR(__xludf.DUMMYFUNCTION("IF(Q696&lt;&gt;"""", GOOGLETRANSLATE(Q696, ""RO"", ""EN""), """")"),"Not")</f>
        <v>Not</v>
      </c>
      <c r="G696" s="5" t="str">
        <f>IFERROR(__xludf.DUMMYFUNCTION("IF(R696&lt;&gt;"""", GOOGLETRANSLATE(R696, ""RO"", ""EN""), """")"),"")</f>
        <v/>
      </c>
      <c r="H696" s="5" t="str">
        <f>IFERROR(__xludf.DUMMYFUNCTION("IF(U696&lt;&gt;"""", GOOGLETRANSLATE(U696, ""RO"", ""EN""), """")"),"")</f>
        <v/>
      </c>
      <c r="I696" s="5" t="str">
        <f>IFERROR(__xludf.DUMMYFUNCTION("IF(V696&lt;&gt;"""", GOOGLETRANSLATE(V696, ""RO"", ""EN""), """")"),"")</f>
        <v/>
      </c>
      <c r="J696" s="5" t="str">
        <f>IFERROR(__xludf.DUMMYFUNCTION("IF(W696&lt;&gt;"""", GOOGLETRANSLATE(W696, ""RO"", ""EN""), """")"),"")</f>
        <v/>
      </c>
      <c r="K696" s="5" t="str">
        <f>IFERROR(__xludf.DUMMYFUNCTION("IF(X696&lt;&gt;"""", GOOGLETRANSLATE(X696, ""RO"", ""EN""), """")"),"")</f>
        <v/>
      </c>
      <c r="L696" s="5" t="str">
        <f>IFERROR(__xludf.DUMMYFUNCTION("IF(S696&lt;&gt;"""", GOOGLETRANSLATE(S696, ""RO"", ""EN""), """")"),"")</f>
        <v/>
      </c>
      <c r="M696" s="5" t="str">
        <f>IFERROR(__xludf.DUMMYFUNCTION("IF(T696&lt;&gt;"""", GOOGLETRANSLATE(T696, ""RO"", ""EN""), """")"),"")</f>
        <v/>
      </c>
      <c r="N696" s="5" t="str">
        <f>IFERROR(__xludf.DUMMYFUNCTION("IF(Y696&lt;&gt;"""", GOOGLETRANSLATE(Y696, ""RO"", ""EN""), """")"),"")</f>
        <v/>
      </c>
      <c r="P696" s="4" t="s">
        <v>639</v>
      </c>
      <c r="Q696" s="4" t="s">
        <v>640</v>
      </c>
    </row>
    <row r="697" ht="15.75" customHeight="1">
      <c r="A697" s="4" t="s">
        <v>1932</v>
      </c>
      <c r="B697" s="4" t="s">
        <v>1034</v>
      </c>
      <c r="C697" s="4" t="str">
        <f>IFERROR(__xludf.DUMMYFUNCTION("GOOGLETRANSLATE(B697, ""RO"", ""EN"")"),"child of no more than 10 years")</f>
        <v>child of no more than 10 years</v>
      </c>
      <c r="D697" s="5" t="str">
        <f>IFERROR(__xludf.DUMMYFUNCTION("IF(O697&lt;&gt;"""", GOOGLETRANSLATE(O697, ""RO"", ""EN""), """")"),"")</f>
        <v/>
      </c>
      <c r="E697" s="6" t="str">
        <f>IFERROR(__xludf.DUMMYFUNCTION("IF(P697&lt;&gt;"""", GOOGLETRANSLATE(P697, ""RO"", ""EN""), """")"),"Yes")</f>
        <v>Yes</v>
      </c>
      <c r="F697" s="5" t="str">
        <f>IFERROR(__xludf.DUMMYFUNCTION("IF(Q697&lt;&gt;"""", GOOGLETRANSLATE(Q697, ""RO"", ""EN""), """")"),"Not")</f>
        <v>Not</v>
      </c>
      <c r="G697" s="5" t="str">
        <f>IFERROR(__xludf.DUMMYFUNCTION("IF(R697&lt;&gt;"""", GOOGLETRANSLATE(R697, ""RO"", ""EN""), """")"),"")</f>
        <v/>
      </c>
      <c r="H697" s="5" t="str">
        <f>IFERROR(__xludf.DUMMYFUNCTION("IF(U697&lt;&gt;"""", GOOGLETRANSLATE(U697, ""RO"", ""EN""), """")"),"")</f>
        <v/>
      </c>
      <c r="I697" s="5" t="str">
        <f>IFERROR(__xludf.DUMMYFUNCTION("IF(V697&lt;&gt;"""", GOOGLETRANSLATE(V697, ""RO"", ""EN""), """")"),"")</f>
        <v/>
      </c>
      <c r="J697" s="5" t="str">
        <f>IFERROR(__xludf.DUMMYFUNCTION("IF(W697&lt;&gt;"""", GOOGLETRANSLATE(W697, ""RO"", ""EN""), """")"),"")</f>
        <v/>
      </c>
      <c r="K697" s="5" t="str">
        <f>IFERROR(__xludf.DUMMYFUNCTION("IF(X697&lt;&gt;"""", GOOGLETRANSLATE(X697, ""RO"", ""EN""), """")"),"")</f>
        <v/>
      </c>
      <c r="L697" s="5" t="str">
        <f>IFERROR(__xludf.DUMMYFUNCTION("IF(S697&lt;&gt;"""", GOOGLETRANSLATE(S697, ""RO"", ""EN""), """")"),"")</f>
        <v/>
      </c>
      <c r="M697" s="5" t="str">
        <f>IFERROR(__xludf.DUMMYFUNCTION("IF(T697&lt;&gt;"""", GOOGLETRANSLATE(T697, ""RO"", ""EN""), """")"),"")</f>
        <v/>
      </c>
      <c r="N697" s="5" t="str">
        <f>IFERROR(__xludf.DUMMYFUNCTION("IF(Y697&lt;&gt;"""", GOOGLETRANSLATE(Y697, ""RO"", ""EN""), """")"),"")</f>
        <v/>
      </c>
      <c r="P697" s="4" t="s">
        <v>639</v>
      </c>
      <c r="Q697" s="4" t="s">
        <v>640</v>
      </c>
    </row>
    <row r="698" ht="15.75" customHeight="1">
      <c r="A698" s="4" t="s">
        <v>1933</v>
      </c>
      <c r="B698" s="4" t="s">
        <v>1036</v>
      </c>
      <c r="C698" s="4" t="str">
        <f>IFERROR(__xludf.DUMMYFUNCTION("GOOGLETRANSLATE(B698, ""RO"", ""EN"")"),"child over 10 years")</f>
        <v>child over 10 years</v>
      </c>
      <c r="D698" s="5" t="str">
        <f>IFERROR(__xludf.DUMMYFUNCTION("IF(O698&lt;&gt;"""", GOOGLETRANSLATE(O698, ""RO"", ""EN""), """")"),"")</f>
        <v/>
      </c>
      <c r="E698" s="6" t="str">
        <f>IFERROR(__xludf.DUMMYFUNCTION("IF(P698&lt;&gt;"""", GOOGLETRANSLATE(P698, ""RO"", ""EN""), """")"),"Yes")</f>
        <v>Yes</v>
      </c>
      <c r="F698" s="5" t="str">
        <f>IFERROR(__xludf.DUMMYFUNCTION("IF(Q698&lt;&gt;"""", GOOGLETRANSLATE(Q698, ""RO"", ""EN""), """")"),"Not")</f>
        <v>Not</v>
      </c>
      <c r="G698" s="5" t="str">
        <f>IFERROR(__xludf.DUMMYFUNCTION("IF(R698&lt;&gt;"""", GOOGLETRANSLATE(R698, ""RO"", ""EN""), """")"),"")</f>
        <v/>
      </c>
      <c r="H698" s="5" t="str">
        <f>IFERROR(__xludf.DUMMYFUNCTION("IF(U698&lt;&gt;"""", GOOGLETRANSLATE(U698, ""RO"", ""EN""), """")"),"")</f>
        <v/>
      </c>
      <c r="I698" s="5" t="str">
        <f>IFERROR(__xludf.DUMMYFUNCTION("IF(V698&lt;&gt;"""", GOOGLETRANSLATE(V698, ""RO"", ""EN""), """")"),"")</f>
        <v/>
      </c>
      <c r="J698" s="5" t="str">
        <f>IFERROR(__xludf.DUMMYFUNCTION("IF(W698&lt;&gt;"""", GOOGLETRANSLATE(W698, ""RO"", ""EN""), """")"),"")</f>
        <v/>
      </c>
      <c r="K698" s="5" t="str">
        <f>IFERROR(__xludf.DUMMYFUNCTION("IF(X698&lt;&gt;"""", GOOGLETRANSLATE(X698, ""RO"", ""EN""), """")"),"")</f>
        <v/>
      </c>
      <c r="L698" s="5" t="str">
        <f>IFERROR(__xludf.DUMMYFUNCTION("IF(S698&lt;&gt;"""", GOOGLETRANSLATE(S698, ""RO"", ""EN""), """")"),"")</f>
        <v/>
      </c>
      <c r="M698" s="5" t="str">
        <f>IFERROR(__xludf.DUMMYFUNCTION("IF(T698&lt;&gt;"""", GOOGLETRANSLATE(T698, ""RO"", ""EN""), """")"),"")</f>
        <v/>
      </c>
      <c r="N698" s="5" t="str">
        <f>IFERROR(__xludf.DUMMYFUNCTION("IF(Y698&lt;&gt;"""", GOOGLETRANSLATE(Y698, ""RO"", ""EN""), """")"),"")</f>
        <v/>
      </c>
      <c r="P698" s="4" t="s">
        <v>639</v>
      </c>
      <c r="Q698" s="4" t="s">
        <v>640</v>
      </c>
    </row>
    <row r="699" ht="15.75" customHeight="1">
      <c r="A699" s="4" t="s">
        <v>1934</v>
      </c>
      <c r="B699" s="4" t="s">
        <v>1038</v>
      </c>
      <c r="C699" s="4" t="str">
        <f>IFERROR(__xludf.DUMMYFUNCTION("GOOGLETRANSLATE(B699, ""RO"", ""EN"")"),"somebody else")</f>
        <v>somebody else</v>
      </c>
      <c r="D699" s="5" t="str">
        <f>IFERROR(__xludf.DUMMYFUNCTION("IF(O699&lt;&gt;"""", GOOGLETRANSLATE(O699, ""RO"", ""EN""), """")"),"")</f>
        <v/>
      </c>
      <c r="E699" s="6" t="str">
        <f>IFERROR(__xludf.DUMMYFUNCTION("IF(P699&lt;&gt;"""", GOOGLETRANSLATE(P699, ""RO"", ""EN""), """")"),"Yes")</f>
        <v>Yes</v>
      </c>
      <c r="F699" s="5" t="str">
        <f>IFERROR(__xludf.DUMMYFUNCTION("IF(Q699&lt;&gt;"""", GOOGLETRANSLATE(Q699, ""RO"", ""EN""), """")"),"Not")</f>
        <v>Not</v>
      </c>
      <c r="G699" s="5" t="str">
        <f>IFERROR(__xludf.DUMMYFUNCTION("IF(R699&lt;&gt;"""", GOOGLETRANSLATE(R699, ""RO"", ""EN""), """")"),"")</f>
        <v/>
      </c>
      <c r="H699" s="5" t="str">
        <f>IFERROR(__xludf.DUMMYFUNCTION("IF(U699&lt;&gt;"""", GOOGLETRANSLATE(U699, ""RO"", ""EN""), """")"),"")</f>
        <v/>
      </c>
      <c r="I699" s="5" t="str">
        <f>IFERROR(__xludf.DUMMYFUNCTION("IF(V699&lt;&gt;"""", GOOGLETRANSLATE(V699, ""RO"", ""EN""), """")"),"")</f>
        <v/>
      </c>
      <c r="J699" s="5" t="str">
        <f>IFERROR(__xludf.DUMMYFUNCTION("IF(W699&lt;&gt;"""", GOOGLETRANSLATE(W699, ""RO"", ""EN""), """")"),"")</f>
        <v/>
      </c>
      <c r="K699" s="5" t="str">
        <f>IFERROR(__xludf.DUMMYFUNCTION("IF(X699&lt;&gt;"""", GOOGLETRANSLATE(X699, ""RO"", ""EN""), """")"),"")</f>
        <v/>
      </c>
      <c r="L699" s="5" t="str">
        <f>IFERROR(__xludf.DUMMYFUNCTION("IF(S699&lt;&gt;"""", GOOGLETRANSLATE(S699, ""RO"", ""EN""), """")"),"")</f>
        <v/>
      </c>
      <c r="M699" s="5" t="str">
        <f>IFERROR(__xludf.DUMMYFUNCTION("IF(T699&lt;&gt;"""", GOOGLETRANSLATE(T699, ""RO"", ""EN""), """")"),"")</f>
        <v/>
      </c>
      <c r="N699" s="5" t="str">
        <f>IFERROR(__xludf.DUMMYFUNCTION("IF(Y699&lt;&gt;"""", GOOGLETRANSLATE(Y699, ""RO"", ""EN""), """")"),"")</f>
        <v/>
      </c>
      <c r="P699" s="4" t="s">
        <v>639</v>
      </c>
      <c r="Q699" s="4" t="s">
        <v>640</v>
      </c>
    </row>
    <row r="700" ht="15.75" customHeight="1">
      <c r="A700" s="4" t="s">
        <v>1935</v>
      </c>
      <c r="B700" s="4" t="s">
        <v>1936</v>
      </c>
      <c r="C700" s="4" t="str">
        <f>IFERROR(__xludf.DUMMYFUNCTION("GOOGLETRANSLATE(B700, ""RO"", ""EN"")"),"On a scale from 0 (minimum) to 10 (maximum), how do you appreciate the respondent's interest in the topics discussed?")</f>
        <v>On a scale from 0 (minimum) to 10 (maximum), how do you appreciate the respondent's interest in the topics discussed?</v>
      </c>
      <c r="D700" s="5" t="str">
        <f>IFERROR(__xludf.DUMMYFUNCTION("IF(O700&lt;&gt;"""", GOOGLETRANSLATE(O700, ""RO"", ""EN""), """")"),"Minimum")</f>
        <v>Minimum</v>
      </c>
      <c r="E700" s="6" t="str">
        <f>IFERROR(__xludf.DUMMYFUNCTION("IF(P700&lt;&gt;"""", GOOGLETRANSLATE(P700, ""RO"", ""EN""), """")"),"1")</f>
        <v>1</v>
      </c>
      <c r="F700" s="5" t="str">
        <f>IFERROR(__xludf.DUMMYFUNCTION("IF(Q700&lt;&gt;"""", GOOGLETRANSLATE(Q700, ""RO"", ""EN""), """")"),"2")</f>
        <v>2</v>
      </c>
      <c r="G700" s="5" t="str">
        <f>IFERROR(__xludf.DUMMYFUNCTION("IF(R700&lt;&gt;"""", GOOGLETRANSLATE(R700, ""RO"", ""EN""), """")"),"3")</f>
        <v>3</v>
      </c>
      <c r="H700" s="5" t="str">
        <f>IFERROR(__xludf.DUMMYFUNCTION("IF(U700&lt;&gt;"""", GOOGLETRANSLATE(U700, ""RO"", ""EN""), """")"),"4")</f>
        <v>4</v>
      </c>
      <c r="I700" s="5" t="str">
        <f>IFERROR(__xludf.DUMMYFUNCTION("IF(V700&lt;&gt;"""", GOOGLETRANSLATE(V700, ""RO"", ""EN""), """")"),"5")</f>
        <v>5</v>
      </c>
      <c r="J700" s="5" t="str">
        <f>IFERROR(__xludf.DUMMYFUNCTION("IF(W700&lt;&gt;"""", GOOGLETRANSLATE(W700, ""RO"", ""EN""), """")"),"6")</f>
        <v>6</v>
      </c>
      <c r="K700" s="5" t="str">
        <f>IFERROR(__xludf.DUMMYFUNCTION("IF(X700&lt;&gt;"""", GOOGLETRANSLATE(X700, ""RO"", ""EN""), """")"),"7")</f>
        <v>7</v>
      </c>
      <c r="L700" s="5" t="str">
        <f>IFERROR(__xludf.DUMMYFUNCTION("IF(S700&lt;&gt;"""", GOOGLETRANSLATE(S700, ""RO"", ""EN""), """")"),"8")</f>
        <v>8</v>
      </c>
      <c r="M700" s="5" t="str">
        <f>IFERROR(__xludf.DUMMYFUNCTION("IF(T700&lt;&gt;"""", GOOGLETRANSLATE(T700, ""RO"", ""EN""), """")"),"9")</f>
        <v>9</v>
      </c>
      <c r="N700" s="5" t="str">
        <f>IFERROR(__xludf.DUMMYFUNCTION("IF(Y700&lt;&gt;"""", GOOGLETRANSLATE(Y700, ""RO"", ""EN""), """")"),"Maximum")</f>
        <v>Maximum</v>
      </c>
      <c r="O700" s="4" t="s">
        <v>1041</v>
      </c>
      <c r="P700" s="4" t="s">
        <v>168</v>
      </c>
      <c r="Q700" s="4" t="s">
        <v>169</v>
      </c>
      <c r="R700" s="4" t="s">
        <v>170</v>
      </c>
      <c r="S700" s="4" t="s">
        <v>171</v>
      </c>
      <c r="T700" s="4" t="s">
        <v>172</v>
      </c>
      <c r="U700" s="4" t="s">
        <v>173</v>
      </c>
      <c r="V700" s="4" t="s">
        <v>174</v>
      </c>
      <c r="W700" s="4" t="s">
        <v>175</v>
      </c>
      <c r="X700" s="4" t="s">
        <v>176</v>
      </c>
      <c r="Y700" s="4" t="s">
        <v>1042</v>
      </c>
    </row>
    <row r="701" ht="15.75" customHeight="1">
      <c r="A701" s="4" t="s">
        <v>1937</v>
      </c>
      <c r="B701" s="4" t="s">
        <v>1044</v>
      </c>
      <c r="C701" s="4" t="str">
        <f>IFERROR(__xludf.DUMMYFUNCTION("GOOGLETRANSLATE(B701, ""RO"", ""EN"")"),"The respondent's ability to understand the questions")</f>
        <v>The respondent's ability to understand the questions</v>
      </c>
      <c r="D701" s="5" t="str">
        <f>IFERROR(__xludf.DUMMYFUNCTION("IF(O701&lt;&gt;"""", GOOGLETRANSLATE(O701, ""RO"", ""EN""), """")"),"Minimum")</f>
        <v>Minimum</v>
      </c>
      <c r="E701" s="6" t="str">
        <f>IFERROR(__xludf.DUMMYFUNCTION("IF(P701&lt;&gt;"""", GOOGLETRANSLATE(P701, ""RO"", ""EN""), """")"),"1")</f>
        <v>1</v>
      </c>
      <c r="F701" s="5" t="str">
        <f>IFERROR(__xludf.DUMMYFUNCTION("IF(Q701&lt;&gt;"""", GOOGLETRANSLATE(Q701, ""RO"", ""EN""), """")"),"2")</f>
        <v>2</v>
      </c>
      <c r="G701" s="5" t="str">
        <f>IFERROR(__xludf.DUMMYFUNCTION("IF(R701&lt;&gt;"""", GOOGLETRANSLATE(R701, ""RO"", ""EN""), """")"),"3")</f>
        <v>3</v>
      </c>
      <c r="H701" s="5" t="str">
        <f>IFERROR(__xludf.DUMMYFUNCTION("IF(U701&lt;&gt;"""", GOOGLETRANSLATE(U701, ""RO"", ""EN""), """")"),"4")</f>
        <v>4</v>
      </c>
      <c r="I701" s="5" t="str">
        <f>IFERROR(__xludf.DUMMYFUNCTION("IF(V701&lt;&gt;"""", GOOGLETRANSLATE(V701, ""RO"", ""EN""), """")"),"5")</f>
        <v>5</v>
      </c>
      <c r="J701" s="5" t="str">
        <f>IFERROR(__xludf.DUMMYFUNCTION("IF(W701&lt;&gt;"""", GOOGLETRANSLATE(W701, ""RO"", ""EN""), """")"),"6")</f>
        <v>6</v>
      </c>
      <c r="K701" s="5" t="str">
        <f>IFERROR(__xludf.DUMMYFUNCTION("IF(X701&lt;&gt;"""", GOOGLETRANSLATE(X701, ""RO"", ""EN""), """")"),"7")</f>
        <v>7</v>
      </c>
      <c r="L701" s="5" t="str">
        <f>IFERROR(__xludf.DUMMYFUNCTION("IF(S701&lt;&gt;"""", GOOGLETRANSLATE(S701, ""RO"", ""EN""), """")"),"8")</f>
        <v>8</v>
      </c>
      <c r="M701" s="5" t="str">
        <f>IFERROR(__xludf.DUMMYFUNCTION("IF(T701&lt;&gt;"""", GOOGLETRANSLATE(T701, ""RO"", ""EN""), """")"),"9")</f>
        <v>9</v>
      </c>
      <c r="N701" s="5" t="str">
        <f>IFERROR(__xludf.DUMMYFUNCTION("IF(Y701&lt;&gt;"""", GOOGLETRANSLATE(Y701, ""RO"", ""EN""), """")"),"Maximum")</f>
        <v>Maximum</v>
      </c>
      <c r="O701" s="4" t="s">
        <v>1041</v>
      </c>
      <c r="P701" s="4" t="s">
        <v>168</v>
      </c>
      <c r="Q701" s="4" t="s">
        <v>169</v>
      </c>
      <c r="R701" s="4" t="s">
        <v>170</v>
      </c>
      <c r="S701" s="4" t="s">
        <v>171</v>
      </c>
      <c r="T701" s="4" t="s">
        <v>172</v>
      </c>
      <c r="U701" s="4" t="s">
        <v>173</v>
      </c>
      <c r="V701" s="4" t="s">
        <v>174</v>
      </c>
      <c r="W701" s="4" t="s">
        <v>175</v>
      </c>
      <c r="X701" s="4" t="s">
        <v>176</v>
      </c>
      <c r="Y701" s="4" t="s">
        <v>1042</v>
      </c>
    </row>
    <row r="702" ht="15.75" customHeight="1">
      <c r="A702" s="4" t="s">
        <v>1938</v>
      </c>
      <c r="B702" s="4" t="s">
        <v>1046</v>
      </c>
      <c r="C702" s="4" t="str">
        <f>IFERROR(__xludf.DUMMYFUNCTION("GOOGLETRANSLATE(B702, ""RO"", ""EN"")"),"The respondent's ability to give an answer to questions")</f>
        <v>The respondent's ability to give an answer to questions</v>
      </c>
      <c r="D702" s="5" t="str">
        <f>IFERROR(__xludf.DUMMYFUNCTION("IF(O702&lt;&gt;"""", GOOGLETRANSLATE(O702, ""RO"", ""EN""), """")"),"Minimum")</f>
        <v>Minimum</v>
      </c>
      <c r="E702" s="6" t="str">
        <f>IFERROR(__xludf.DUMMYFUNCTION("IF(P702&lt;&gt;"""", GOOGLETRANSLATE(P702, ""RO"", ""EN""), """")"),"1")</f>
        <v>1</v>
      </c>
      <c r="F702" s="5" t="str">
        <f>IFERROR(__xludf.DUMMYFUNCTION("IF(Q702&lt;&gt;"""", GOOGLETRANSLATE(Q702, ""RO"", ""EN""), """")"),"2")</f>
        <v>2</v>
      </c>
      <c r="G702" s="5" t="str">
        <f>IFERROR(__xludf.DUMMYFUNCTION("IF(R702&lt;&gt;"""", GOOGLETRANSLATE(R702, ""RO"", ""EN""), """")"),"3")</f>
        <v>3</v>
      </c>
      <c r="H702" s="5" t="str">
        <f>IFERROR(__xludf.DUMMYFUNCTION("IF(U702&lt;&gt;"""", GOOGLETRANSLATE(U702, ""RO"", ""EN""), """")"),"4")</f>
        <v>4</v>
      </c>
      <c r="I702" s="5" t="str">
        <f>IFERROR(__xludf.DUMMYFUNCTION("IF(V702&lt;&gt;"""", GOOGLETRANSLATE(V702, ""RO"", ""EN""), """")"),"5")</f>
        <v>5</v>
      </c>
      <c r="J702" s="5" t="str">
        <f>IFERROR(__xludf.DUMMYFUNCTION("IF(W702&lt;&gt;"""", GOOGLETRANSLATE(W702, ""RO"", ""EN""), """")"),"6")</f>
        <v>6</v>
      </c>
      <c r="K702" s="5" t="str">
        <f>IFERROR(__xludf.DUMMYFUNCTION("IF(X702&lt;&gt;"""", GOOGLETRANSLATE(X702, ""RO"", ""EN""), """")"),"7")</f>
        <v>7</v>
      </c>
      <c r="L702" s="5" t="str">
        <f>IFERROR(__xludf.DUMMYFUNCTION("IF(S702&lt;&gt;"""", GOOGLETRANSLATE(S702, ""RO"", ""EN""), """")"),"8")</f>
        <v>8</v>
      </c>
      <c r="M702" s="5" t="str">
        <f>IFERROR(__xludf.DUMMYFUNCTION("IF(T702&lt;&gt;"""", GOOGLETRANSLATE(T702, ""RO"", ""EN""), """")"),"9")</f>
        <v>9</v>
      </c>
      <c r="N702" s="5" t="str">
        <f>IFERROR(__xludf.DUMMYFUNCTION("IF(Y702&lt;&gt;"""", GOOGLETRANSLATE(Y702, ""RO"", ""EN""), """")"),"Maximum")</f>
        <v>Maximum</v>
      </c>
      <c r="O702" s="4" t="s">
        <v>1041</v>
      </c>
      <c r="P702" s="4" t="s">
        <v>168</v>
      </c>
      <c r="Q702" s="4" t="s">
        <v>169</v>
      </c>
      <c r="R702" s="4" t="s">
        <v>170</v>
      </c>
      <c r="S702" s="4" t="s">
        <v>171</v>
      </c>
      <c r="T702" s="4" t="s">
        <v>172</v>
      </c>
      <c r="U702" s="4" t="s">
        <v>173</v>
      </c>
      <c r="V702" s="4" t="s">
        <v>174</v>
      </c>
      <c r="W702" s="4" t="s">
        <v>175</v>
      </c>
      <c r="X702" s="4" t="s">
        <v>176</v>
      </c>
      <c r="Y702" s="4" t="s">
        <v>1042</v>
      </c>
    </row>
    <row r="703" ht="15.75" customHeight="1">
      <c r="A703" s="4" t="s">
        <v>1939</v>
      </c>
      <c r="B703" s="4" t="s">
        <v>1048</v>
      </c>
      <c r="C703" s="4" t="str">
        <f>IFERROR(__xludf.DUMMYFUNCTION("GOOGLETRANSLATE(B703, ""RO"", ""EN"")"),"The respondent's level of information on politics and choices")</f>
        <v>The respondent's level of information on politics and choices</v>
      </c>
      <c r="D703" s="5" t="str">
        <f>IFERROR(__xludf.DUMMYFUNCTION("IF(O703&lt;&gt;"""", GOOGLETRANSLATE(O703, ""RO"", ""EN""), """")"),"Minimum")</f>
        <v>Minimum</v>
      </c>
      <c r="E703" s="6" t="str">
        <f>IFERROR(__xludf.DUMMYFUNCTION("IF(P703&lt;&gt;"""", GOOGLETRANSLATE(P703, ""RO"", ""EN""), """")"),"1")</f>
        <v>1</v>
      </c>
      <c r="F703" s="5" t="str">
        <f>IFERROR(__xludf.DUMMYFUNCTION("IF(Q703&lt;&gt;"""", GOOGLETRANSLATE(Q703, ""RO"", ""EN""), """")"),"2")</f>
        <v>2</v>
      </c>
      <c r="G703" s="5" t="str">
        <f>IFERROR(__xludf.DUMMYFUNCTION("IF(R703&lt;&gt;"""", GOOGLETRANSLATE(R703, ""RO"", ""EN""), """")"),"3")</f>
        <v>3</v>
      </c>
      <c r="H703" s="5" t="str">
        <f>IFERROR(__xludf.DUMMYFUNCTION("IF(U703&lt;&gt;"""", GOOGLETRANSLATE(U703, ""RO"", ""EN""), """")"),"4")</f>
        <v>4</v>
      </c>
      <c r="I703" s="5" t="str">
        <f>IFERROR(__xludf.DUMMYFUNCTION("IF(V703&lt;&gt;"""", GOOGLETRANSLATE(V703, ""RO"", ""EN""), """")"),"5")</f>
        <v>5</v>
      </c>
      <c r="J703" s="5" t="str">
        <f>IFERROR(__xludf.DUMMYFUNCTION("IF(W703&lt;&gt;"""", GOOGLETRANSLATE(W703, ""RO"", ""EN""), """")"),"6")</f>
        <v>6</v>
      </c>
      <c r="K703" s="5" t="str">
        <f>IFERROR(__xludf.DUMMYFUNCTION("IF(X703&lt;&gt;"""", GOOGLETRANSLATE(X703, ""RO"", ""EN""), """")"),"7")</f>
        <v>7</v>
      </c>
      <c r="L703" s="5" t="str">
        <f>IFERROR(__xludf.DUMMYFUNCTION("IF(S703&lt;&gt;"""", GOOGLETRANSLATE(S703, ""RO"", ""EN""), """")"),"8")</f>
        <v>8</v>
      </c>
      <c r="M703" s="5" t="str">
        <f>IFERROR(__xludf.DUMMYFUNCTION("IF(T703&lt;&gt;"""", GOOGLETRANSLATE(T703, ""RO"", ""EN""), """")"),"9")</f>
        <v>9</v>
      </c>
      <c r="N703" s="5" t="str">
        <f>IFERROR(__xludf.DUMMYFUNCTION("IF(Y703&lt;&gt;"""", GOOGLETRANSLATE(Y703, ""RO"", ""EN""), """")"),"Maximum")</f>
        <v>Maximum</v>
      </c>
      <c r="O703" s="4" t="s">
        <v>1041</v>
      </c>
      <c r="P703" s="4" t="s">
        <v>168</v>
      </c>
      <c r="Q703" s="4" t="s">
        <v>169</v>
      </c>
      <c r="R703" s="4" t="s">
        <v>170</v>
      </c>
      <c r="S703" s="4" t="s">
        <v>171</v>
      </c>
      <c r="T703" s="4" t="s">
        <v>172</v>
      </c>
      <c r="U703" s="4" t="s">
        <v>173</v>
      </c>
      <c r="V703" s="4" t="s">
        <v>174</v>
      </c>
      <c r="W703" s="4" t="s">
        <v>175</v>
      </c>
      <c r="X703" s="4" t="s">
        <v>176</v>
      </c>
      <c r="Y703" s="4" t="s">
        <v>1042</v>
      </c>
    </row>
    <row r="704" ht="15.75" customHeight="1">
      <c r="A704" s="4" t="s">
        <v>1940</v>
      </c>
      <c r="B704" s="4" t="s">
        <v>1050</v>
      </c>
      <c r="C704" s="4" t="str">
        <f>IFERROR(__xludf.DUMMYFUNCTION("GOOGLETRANSLATE(B704, ""RO"", ""EN"")"),"Day")</f>
        <v>Day</v>
      </c>
      <c r="D704" s="5" t="str">
        <f>IFERROR(__xludf.DUMMYFUNCTION("IF(O704&lt;&gt;"""", GOOGLETRANSLATE(O704, ""RO"", ""EN""), """")"),"")</f>
        <v/>
      </c>
      <c r="E704" s="6" t="str">
        <f>IFERROR(__xludf.DUMMYFUNCTION("IF(P704&lt;&gt;"""", GOOGLETRANSLATE(P704, ""RO"", ""EN""), """")"),"")</f>
        <v/>
      </c>
      <c r="F704" s="5" t="str">
        <f>IFERROR(__xludf.DUMMYFUNCTION("IF(Q704&lt;&gt;"""", GOOGLETRANSLATE(Q704, ""RO"", ""EN""), """")"),"")</f>
        <v/>
      </c>
      <c r="G704" s="5" t="str">
        <f>IFERROR(__xludf.DUMMYFUNCTION("IF(R704&lt;&gt;"""", GOOGLETRANSLATE(R704, ""RO"", ""EN""), """")"),"")</f>
        <v/>
      </c>
      <c r="H704" s="5" t="str">
        <f>IFERROR(__xludf.DUMMYFUNCTION("IF(U704&lt;&gt;"""", GOOGLETRANSLATE(U704, ""RO"", ""EN""), """")"),"")</f>
        <v/>
      </c>
      <c r="I704" s="5" t="str">
        <f>IFERROR(__xludf.DUMMYFUNCTION("IF(V704&lt;&gt;"""", GOOGLETRANSLATE(V704, ""RO"", ""EN""), """")"),"")</f>
        <v/>
      </c>
      <c r="J704" s="5" t="str">
        <f>IFERROR(__xludf.DUMMYFUNCTION("IF(W704&lt;&gt;"""", GOOGLETRANSLATE(W704, ""RO"", ""EN""), """")"),"")</f>
        <v/>
      </c>
      <c r="K704" s="5" t="str">
        <f>IFERROR(__xludf.DUMMYFUNCTION("IF(X704&lt;&gt;"""", GOOGLETRANSLATE(X704, ""RO"", ""EN""), """")"),"")</f>
        <v/>
      </c>
      <c r="L704" s="5" t="str">
        <f>IFERROR(__xludf.DUMMYFUNCTION("IF(S704&lt;&gt;"""", GOOGLETRANSLATE(S704, ""RO"", ""EN""), """")"),"")</f>
        <v/>
      </c>
      <c r="M704" s="5" t="str">
        <f>IFERROR(__xludf.DUMMYFUNCTION("IF(T704&lt;&gt;"""", GOOGLETRANSLATE(T704, ""RO"", ""EN""), """")"),"")</f>
        <v/>
      </c>
      <c r="N704" s="5" t="str">
        <f>IFERROR(__xludf.DUMMYFUNCTION("IF(Y704&lt;&gt;"""", GOOGLETRANSLATE(Y704, ""RO"", ""EN""), """")"),"")</f>
        <v/>
      </c>
    </row>
    <row r="705" ht="15.75" customHeight="1">
      <c r="A705" s="4" t="s">
        <v>1941</v>
      </c>
      <c r="B705" s="4" t="s">
        <v>1052</v>
      </c>
      <c r="C705" s="4" t="str">
        <f>IFERROR(__xludf.DUMMYFUNCTION("GOOGLETRANSLATE(B705, ""RO"", ""EN"")"),"The duration of the interview")</f>
        <v>The duration of the interview</v>
      </c>
      <c r="D705" s="5" t="str">
        <f>IFERROR(__xludf.DUMMYFUNCTION("IF(O705&lt;&gt;"""", GOOGLETRANSLATE(O705, ""RO"", ""EN""), """")"),"")</f>
        <v/>
      </c>
      <c r="E705" s="6" t="str">
        <f>IFERROR(__xludf.DUMMYFUNCTION("IF(P705&lt;&gt;"""", GOOGLETRANSLATE(P705, ""RO"", ""EN""), """")"),"")</f>
        <v/>
      </c>
      <c r="F705" s="5" t="str">
        <f>IFERROR(__xludf.DUMMYFUNCTION("IF(Q705&lt;&gt;"""", GOOGLETRANSLATE(Q705, ""RO"", ""EN""), """")"),"")</f>
        <v/>
      </c>
      <c r="G705" s="5" t="str">
        <f>IFERROR(__xludf.DUMMYFUNCTION("IF(R705&lt;&gt;"""", GOOGLETRANSLATE(R705, ""RO"", ""EN""), """")"),"")</f>
        <v/>
      </c>
      <c r="H705" s="5" t="str">
        <f>IFERROR(__xludf.DUMMYFUNCTION("IF(U705&lt;&gt;"""", GOOGLETRANSLATE(U705, ""RO"", ""EN""), """")"),"")</f>
        <v/>
      </c>
      <c r="I705" s="5" t="str">
        <f>IFERROR(__xludf.DUMMYFUNCTION("IF(V705&lt;&gt;"""", GOOGLETRANSLATE(V705, ""RO"", ""EN""), """")"),"")</f>
        <v/>
      </c>
      <c r="J705" s="5" t="str">
        <f>IFERROR(__xludf.DUMMYFUNCTION("IF(W705&lt;&gt;"""", GOOGLETRANSLATE(W705, ""RO"", ""EN""), """")"),"")</f>
        <v/>
      </c>
      <c r="K705" s="5" t="str">
        <f>IFERROR(__xludf.DUMMYFUNCTION("IF(X705&lt;&gt;"""", GOOGLETRANSLATE(X705, ""RO"", ""EN""), """")"),"")</f>
        <v/>
      </c>
      <c r="L705" s="5" t="str">
        <f>IFERROR(__xludf.DUMMYFUNCTION("IF(S705&lt;&gt;"""", GOOGLETRANSLATE(S705, ""RO"", ""EN""), """")"),"")</f>
        <v/>
      </c>
      <c r="M705" s="5" t="str">
        <f>IFERROR(__xludf.DUMMYFUNCTION("IF(T705&lt;&gt;"""", GOOGLETRANSLATE(T705, ""RO"", ""EN""), """")"),"")</f>
        <v/>
      </c>
      <c r="N705" s="5" t="str">
        <f>IFERROR(__xludf.DUMMYFUNCTION("IF(Y705&lt;&gt;"""", GOOGLETRANSLATE(Y705, ""RO"", ""EN""), """")"),"")</f>
        <v/>
      </c>
    </row>
    <row r="706" ht="15.75" customHeight="1">
      <c r="A706" s="4" t="s">
        <v>1942</v>
      </c>
      <c r="B706" s="4" t="s">
        <v>1943</v>
      </c>
      <c r="C706" s="4" t="str">
        <f>IFERROR(__xludf.DUMMYFUNCTION("GOOGLETRANSLATE(B706, ""RO"", ""EN"")"),"The operator's name")</f>
        <v>The operator's name</v>
      </c>
      <c r="D706" s="5" t="str">
        <f>IFERROR(__xludf.DUMMYFUNCTION("IF(O706&lt;&gt;"""", GOOGLETRANSLATE(O706, ""RO"", ""EN""), """")"),"")</f>
        <v/>
      </c>
      <c r="E706" s="6" t="str">
        <f>IFERROR(__xludf.DUMMYFUNCTION("IF(P706&lt;&gt;"""", GOOGLETRANSLATE(P706, ""RO"", ""EN""), """")"),"")</f>
        <v/>
      </c>
      <c r="F706" s="5" t="str">
        <f>IFERROR(__xludf.DUMMYFUNCTION("IF(Q706&lt;&gt;"""", GOOGLETRANSLATE(Q706, ""RO"", ""EN""), """")"),"")</f>
        <v/>
      </c>
      <c r="G706" s="5" t="str">
        <f>IFERROR(__xludf.DUMMYFUNCTION("IF(R706&lt;&gt;"""", GOOGLETRANSLATE(R706, ""RO"", ""EN""), """")"),"")</f>
        <v/>
      </c>
      <c r="H706" s="5" t="str">
        <f>IFERROR(__xludf.DUMMYFUNCTION("IF(U706&lt;&gt;"""", GOOGLETRANSLATE(U706, ""RO"", ""EN""), """")"),"")</f>
        <v/>
      </c>
      <c r="I706" s="5" t="str">
        <f>IFERROR(__xludf.DUMMYFUNCTION("IF(V706&lt;&gt;"""", GOOGLETRANSLATE(V706, ""RO"", ""EN""), """")"),"")</f>
        <v/>
      </c>
      <c r="J706" s="5" t="str">
        <f>IFERROR(__xludf.DUMMYFUNCTION("IF(W706&lt;&gt;"""", GOOGLETRANSLATE(W706, ""RO"", ""EN""), """")"),"")</f>
        <v/>
      </c>
      <c r="K706" s="5" t="str">
        <f>IFERROR(__xludf.DUMMYFUNCTION("IF(X706&lt;&gt;"""", GOOGLETRANSLATE(X706, ""RO"", ""EN""), """")"),"")</f>
        <v/>
      </c>
      <c r="L706" s="5" t="str">
        <f>IFERROR(__xludf.DUMMYFUNCTION("IF(S706&lt;&gt;"""", GOOGLETRANSLATE(S706, ""RO"", ""EN""), """")"),"")</f>
        <v/>
      </c>
      <c r="M706" s="5" t="str">
        <f>IFERROR(__xludf.DUMMYFUNCTION("IF(T706&lt;&gt;"""", GOOGLETRANSLATE(T706, ""RO"", ""EN""), """")"),"")</f>
        <v/>
      </c>
      <c r="N706" s="5" t="str">
        <f>IFERROR(__xludf.DUMMYFUNCTION("IF(Y706&lt;&gt;"""", GOOGLETRANSLATE(Y706, ""RO"", ""EN""), """")"),"")</f>
        <v/>
      </c>
    </row>
    <row r="707" ht="15.75" customHeight="1">
      <c r="A707" s="4" t="s">
        <v>1944</v>
      </c>
      <c r="B707" s="4" t="s">
        <v>1054</v>
      </c>
      <c r="C707" s="4" t="str">
        <f>IFERROR(__xludf.DUMMYFUNCTION("GOOGLETRANSLATE(B707, ""RO"", ""EN"")"),"The operator's code")</f>
        <v>The operator's code</v>
      </c>
      <c r="D707" s="5" t="str">
        <f>IFERROR(__xludf.DUMMYFUNCTION("IF(O707&lt;&gt;"""", GOOGLETRANSLATE(O707, ""RO"", ""EN""), """")"),"")</f>
        <v/>
      </c>
      <c r="E707" s="6" t="str">
        <f>IFERROR(__xludf.DUMMYFUNCTION("IF(P707&lt;&gt;"""", GOOGLETRANSLATE(P707, ""RO"", ""EN""), """")"),"")</f>
        <v/>
      </c>
      <c r="F707" s="5" t="str">
        <f>IFERROR(__xludf.DUMMYFUNCTION("IF(Q707&lt;&gt;"""", GOOGLETRANSLATE(Q707, ""RO"", ""EN""), """")"),"")</f>
        <v/>
      </c>
      <c r="G707" s="5" t="str">
        <f>IFERROR(__xludf.DUMMYFUNCTION("IF(R707&lt;&gt;"""", GOOGLETRANSLATE(R707, ""RO"", ""EN""), """")"),"")</f>
        <v/>
      </c>
      <c r="H707" s="5" t="str">
        <f>IFERROR(__xludf.DUMMYFUNCTION("IF(U707&lt;&gt;"""", GOOGLETRANSLATE(U707, ""RO"", ""EN""), """")"),"")</f>
        <v/>
      </c>
      <c r="I707" s="5" t="str">
        <f>IFERROR(__xludf.DUMMYFUNCTION("IF(V707&lt;&gt;"""", GOOGLETRANSLATE(V707, ""RO"", ""EN""), """")"),"")</f>
        <v/>
      </c>
      <c r="J707" s="5" t="str">
        <f>IFERROR(__xludf.DUMMYFUNCTION("IF(W707&lt;&gt;"""", GOOGLETRANSLATE(W707, ""RO"", ""EN""), """")"),"")</f>
        <v/>
      </c>
      <c r="K707" s="5" t="str">
        <f>IFERROR(__xludf.DUMMYFUNCTION("IF(X707&lt;&gt;"""", GOOGLETRANSLATE(X707, ""RO"", ""EN""), """")"),"")</f>
        <v/>
      </c>
      <c r="L707" s="5" t="str">
        <f>IFERROR(__xludf.DUMMYFUNCTION("IF(S707&lt;&gt;"""", GOOGLETRANSLATE(S707, ""RO"", ""EN""), """")"),"")</f>
        <v/>
      </c>
      <c r="M707" s="5" t="str">
        <f>IFERROR(__xludf.DUMMYFUNCTION("IF(T707&lt;&gt;"""", GOOGLETRANSLATE(T707, ""RO"", ""EN""), """")"),"")</f>
        <v/>
      </c>
      <c r="N707" s="5" t="str">
        <f>IFERROR(__xludf.DUMMYFUNCTION("IF(Y707&lt;&gt;"""", GOOGLETRANSLATE(Y707, ""RO"", ""EN""), """")"),"")</f>
        <v/>
      </c>
    </row>
    <row r="708" ht="15.75" customHeight="1">
      <c r="A708" s="4" t="s">
        <v>1945</v>
      </c>
      <c r="B708" s="4" t="s">
        <v>1946</v>
      </c>
      <c r="C708" s="4" t="str">
        <f>IFERROR(__xludf.DUMMYFUNCTION("GOOGLETRANSLATE(B708, ""RO"", ""EN"")"),"********************* Recodifications *********************************** *************************")</f>
        <v>********************* Recodifications *********************************** *************************</v>
      </c>
      <c r="D708" s="5" t="str">
        <f>IFERROR(__xludf.DUMMYFUNCTION("IF(O708&lt;&gt;"""", GOOGLETRANSLATE(O708, ""RO"", ""EN""), """")"),"")</f>
        <v/>
      </c>
      <c r="E708" s="6" t="str">
        <f>IFERROR(__xludf.DUMMYFUNCTION("IF(P708&lt;&gt;"""", GOOGLETRANSLATE(P708, ""RO"", ""EN""), """")"),"")</f>
        <v/>
      </c>
      <c r="F708" s="5" t="str">
        <f>IFERROR(__xludf.DUMMYFUNCTION("IF(Q708&lt;&gt;"""", GOOGLETRANSLATE(Q708, ""RO"", ""EN""), """")"),"")</f>
        <v/>
      </c>
      <c r="G708" s="5" t="str">
        <f>IFERROR(__xludf.DUMMYFUNCTION("IF(R708&lt;&gt;"""", GOOGLETRANSLATE(R708, ""RO"", ""EN""), """")"),"")</f>
        <v/>
      </c>
      <c r="H708" s="5" t="str">
        <f>IFERROR(__xludf.DUMMYFUNCTION("IF(U708&lt;&gt;"""", GOOGLETRANSLATE(U708, ""RO"", ""EN""), """")"),"")</f>
        <v/>
      </c>
      <c r="I708" s="5" t="str">
        <f>IFERROR(__xludf.DUMMYFUNCTION("IF(V708&lt;&gt;"""", GOOGLETRANSLATE(V708, ""RO"", ""EN""), """")"),"")</f>
        <v/>
      </c>
      <c r="J708" s="5" t="str">
        <f>IFERROR(__xludf.DUMMYFUNCTION("IF(W708&lt;&gt;"""", GOOGLETRANSLATE(W708, ""RO"", ""EN""), """")"),"")</f>
        <v/>
      </c>
      <c r="K708" s="5" t="str">
        <f>IFERROR(__xludf.DUMMYFUNCTION("IF(X708&lt;&gt;"""", GOOGLETRANSLATE(X708, ""RO"", ""EN""), """")"),"")</f>
        <v/>
      </c>
      <c r="L708" s="5" t="str">
        <f>IFERROR(__xludf.DUMMYFUNCTION("IF(S708&lt;&gt;"""", GOOGLETRANSLATE(S708, ""RO"", ""EN""), """")"),"")</f>
        <v/>
      </c>
      <c r="M708" s="5" t="str">
        <f>IFERROR(__xludf.DUMMYFUNCTION("IF(T708&lt;&gt;"""", GOOGLETRANSLATE(T708, ""RO"", ""EN""), """")"),"")</f>
        <v/>
      </c>
      <c r="N708" s="5" t="str">
        <f>IFERROR(__xludf.DUMMYFUNCTION("IF(Y708&lt;&gt;"""", GOOGLETRANSLATE(Y708, ""RO"", ""EN""), """")"),"")</f>
        <v/>
      </c>
    </row>
    <row r="709" ht="15.75" customHeight="1">
      <c r="A709" s="4" t="s">
        <v>1947</v>
      </c>
      <c r="B709" s="4" t="s">
        <v>1948</v>
      </c>
      <c r="C709" s="4" t="str">
        <f>IFERROR(__xludf.DUMMYFUNCTION("GOOGLETRANSLATE(B709, ""RO"", ""EN"")"),"On November 22, 2009, presidential elections and referendum will take place in Romania. If 0 represents a person who ""very sure will not vote"" and 10 a person who ""very sure will vote"" at ..., on this scale where would you find out? President's electi"&amp;"ons")</f>
        <v>On November 22, 2009, presidential elections and referendum will take place in Romania. If 0 represents a person who "very sure will not vote" and 10 a person who "very sure will vote" at ..., on this scale where would you find out? President's elections</v>
      </c>
      <c r="D709" s="5" t="str">
        <f>IFERROR(__xludf.DUMMYFUNCTION("IF(O709&lt;&gt;"""", GOOGLETRANSLATE(O709, ""RO"", ""EN""), """")"),"Very sure I don't vote")</f>
        <v>Very sure I don't vote</v>
      </c>
      <c r="E709" s="6" t="str">
        <f>IFERROR(__xludf.DUMMYFUNCTION("IF(P709&lt;&gt;"""", GOOGLETRANSLATE(P709, ""RO"", ""EN""), """")"),"1")</f>
        <v>1</v>
      </c>
      <c r="F709" s="5" t="str">
        <f>IFERROR(__xludf.DUMMYFUNCTION("IF(Q709&lt;&gt;"""", GOOGLETRANSLATE(Q709, ""RO"", ""EN""), """")"),"2")</f>
        <v>2</v>
      </c>
      <c r="G709" s="5" t="str">
        <f>IFERROR(__xludf.DUMMYFUNCTION("IF(R709&lt;&gt;"""", GOOGLETRANSLATE(R709, ""RO"", ""EN""), """")"),"3")</f>
        <v>3</v>
      </c>
      <c r="H709" s="5" t="str">
        <f>IFERROR(__xludf.DUMMYFUNCTION("IF(U709&lt;&gt;"""", GOOGLETRANSLATE(U709, ""RO"", ""EN""), """")"),"4")</f>
        <v>4</v>
      </c>
      <c r="I709" s="5" t="str">
        <f>IFERROR(__xludf.DUMMYFUNCTION("IF(V709&lt;&gt;"""", GOOGLETRANSLATE(V709, ""RO"", ""EN""), """")"),"5")</f>
        <v>5</v>
      </c>
      <c r="J709" s="5" t="str">
        <f>IFERROR(__xludf.DUMMYFUNCTION("IF(W709&lt;&gt;"""", GOOGLETRANSLATE(W709, ""RO"", ""EN""), """")"),"6")</f>
        <v>6</v>
      </c>
      <c r="K709" s="5" t="str">
        <f>IFERROR(__xludf.DUMMYFUNCTION("IF(X709&lt;&gt;"""", GOOGLETRANSLATE(X709, ""RO"", ""EN""), """")"),"7")</f>
        <v>7</v>
      </c>
      <c r="L709" s="5" t="str">
        <f>IFERROR(__xludf.DUMMYFUNCTION("IF(S709&lt;&gt;"""", GOOGLETRANSLATE(S709, ""RO"", ""EN""), """")"),"8")</f>
        <v>8</v>
      </c>
      <c r="M709" s="5" t="str">
        <f>IFERROR(__xludf.DUMMYFUNCTION("IF(T709&lt;&gt;"""", GOOGLETRANSLATE(T709, ""RO"", ""EN""), """")"),"9")</f>
        <v>9</v>
      </c>
      <c r="N709" s="5" t="str">
        <f>IFERROR(__xludf.DUMMYFUNCTION("IF(Y709&lt;&gt;"""", GOOGLETRANSLATE(Y709, ""RO"", ""EN""), """")"),"Very sure I vote")</f>
        <v>Very sure I vote</v>
      </c>
      <c r="O709" s="4" t="s">
        <v>304</v>
      </c>
      <c r="P709" s="4" t="s">
        <v>168</v>
      </c>
      <c r="Q709" s="4" t="s">
        <v>169</v>
      </c>
      <c r="R709" s="4" t="s">
        <v>170</v>
      </c>
      <c r="S709" s="4" t="s">
        <v>171</v>
      </c>
      <c r="T709" s="4" t="s">
        <v>172</v>
      </c>
      <c r="U709" s="4" t="s">
        <v>173</v>
      </c>
      <c r="V709" s="4" t="s">
        <v>174</v>
      </c>
      <c r="W709" s="4" t="s">
        <v>175</v>
      </c>
      <c r="X709" s="4" t="s">
        <v>176</v>
      </c>
      <c r="Y709" s="4" t="s">
        <v>305</v>
      </c>
      <c r="AA709" s="4" t="s">
        <v>103</v>
      </c>
      <c r="AB709" s="4" t="s">
        <v>104</v>
      </c>
    </row>
    <row r="710" ht="15.75" customHeight="1">
      <c r="A710" s="4" t="s">
        <v>1949</v>
      </c>
      <c r="B710" s="4" t="s">
        <v>1950</v>
      </c>
      <c r="C710" s="4" t="str">
        <f>IFERROR(__xludf.DUMMYFUNCTION("GOOGLETRANSLATE(B710, ""RO"", ""EN"")"),"Self -evaluation of the Vote Present in Tour 1")</f>
        <v>Self -evaluation of the Vote Present in Tour 1</v>
      </c>
      <c r="D710" s="5" t="str">
        <f>IFERROR(__xludf.DUMMYFUNCTION("IF(O710&lt;&gt;"""", GOOGLETRANSLATE(O710, ""RO"", ""EN""), """")"),"")</f>
        <v/>
      </c>
      <c r="E710" s="6" t="str">
        <f>IFERROR(__xludf.DUMMYFUNCTION("IF(P710&lt;&gt;"""", GOOGLETRANSLATE(P710, ""RO"", ""EN""), """")"),"I'm sure I'm going")</f>
        <v>I'm sure I'm going</v>
      </c>
      <c r="F710" s="5" t="str">
        <f>IFERROR(__xludf.DUMMYFUNCTION("IF(Q710&lt;&gt;"""", GOOGLETRANSLATE(Q710, ""RO"", ""EN""), """")"),"I probably go")</f>
        <v>I probably go</v>
      </c>
      <c r="G710" s="5" t="str">
        <f>IFERROR(__xludf.DUMMYFUNCTION("IF(R710&lt;&gt;"""", GOOGLETRANSLATE(R710, ""RO"", ""EN""), """")"),"I probably don't go")</f>
        <v>I probably don't go</v>
      </c>
      <c r="H710" s="5" t="str">
        <f>IFERROR(__xludf.DUMMYFUNCTION("IF(U710&lt;&gt;"""", GOOGLETRANSLATE(U710, ""RO"", ""EN""), """")"),"Sure I don't go")</f>
        <v>Sure I don't go</v>
      </c>
      <c r="I710" s="5" t="str">
        <f>IFERROR(__xludf.DUMMYFUNCTION("IF(V710&lt;&gt;"""", GOOGLETRANSLATE(V710, ""RO"", ""EN""), """")"),"")</f>
        <v/>
      </c>
      <c r="J710" s="5" t="str">
        <f>IFERROR(__xludf.DUMMYFUNCTION("IF(W710&lt;&gt;"""", GOOGLETRANSLATE(W710, ""RO"", ""EN""), """")"),"")</f>
        <v/>
      </c>
      <c r="K710" s="5" t="str">
        <f>IFERROR(__xludf.DUMMYFUNCTION("IF(X710&lt;&gt;"""", GOOGLETRANSLATE(X710, ""RO"", ""EN""), """")"),"")</f>
        <v/>
      </c>
      <c r="L710" s="5" t="str">
        <f>IFERROR(__xludf.DUMMYFUNCTION("IF(S710&lt;&gt;"""", GOOGLETRANSLATE(S710, ""RO"", ""EN""), """")"),"Ns")</f>
        <v>Ns</v>
      </c>
      <c r="M710" s="5" t="str">
        <f>IFERROR(__xludf.DUMMYFUNCTION("IF(T710&lt;&gt;"""", GOOGLETRANSLATE(T710, ""RO"", ""EN""), """")"),"No.")</f>
        <v>No.</v>
      </c>
      <c r="N710" s="5" t="str">
        <f>IFERROR(__xludf.DUMMYFUNCTION("IF(Y710&lt;&gt;"""", GOOGLETRANSLATE(Y710, ""RO"", ""EN""), """")"),"")</f>
        <v/>
      </c>
      <c r="P710" s="4" t="s">
        <v>471</v>
      </c>
      <c r="Q710" s="4" t="s">
        <v>472</v>
      </c>
      <c r="R710" s="4" t="s">
        <v>473</v>
      </c>
      <c r="S710" s="4" t="s">
        <v>103</v>
      </c>
      <c r="T710" s="4" t="s">
        <v>104</v>
      </c>
      <c r="U710" s="4" t="s">
        <v>474</v>
      </c>
    </row>
    <row r="711" ht="15.75" customHeight="1">
      <c r="A711" s="4" t="s">
        <v>1951</v>
      </c>
      <c r="B711" s="4" t="s">
        <v>1411</v>
      </c>
      <c r="C711" s="4" t="str">
        <f>IFERROR(__xludf.DUMMYFUNCTION("GOOGLETRANSLATE(B711, ""RO"", ""EN"")"),"For various reasons, about half of the people were missing from the 1st of the presidential elections on November 22, 2009, while others voted. Which of the following statements fits in your case?")</f>
        <v>For various reasons, about half of the people were missing from the 1st of the presidential elections on November 22, 2009, while others voted. Which of the following statements fits in your case?</v>
      </c>
      <c r="D711" s="5" t="str">
        <f>IFERROR(__xludf.DUMMYFUNCTION("IF(O711&lt;&gt;"""", GOOGLETRANSLATE(O711, ""RO"", ""EN""), """")"),"")</f>
        <v/>
      </c>
      <c r="E711" s="6" t="str">
        <f>IFERROR(__xludf.DUMMYFUNCTION("IF(P711&lt;&gt;"""", GOOGLETRANSLATE(P711, ""RO"", ""EN""), """")"),"I did not vote at round 1 of presidential elections of 22 no")</f>
        <v>I did not vote at round 1 of presidential elections of 22 no</v>
      </c>
      <c r="F711" s="5" t="str">
        <f>IFERROR(__xludf.DUMMYFUNCTION("IF(Q711&lt;&gt;"""", GOOGLETRANSLATE(Q711, ""RO"", ""EN""), """")"),"I thought of voting this time but I didn't vote")</f>
        <v>I thought of voting this time but I didn't vote</v>
      </c>
      <c r="G711" s="5" t="str">
        <f>IFERROR(__xludf.DUMMYFUNCTION("IF(R711&lt;&gt;"""", GOOGLETRANSLATE(R711, ""RO"", ""EN""), """")"),"I usually vote but this time I didn't vote")</f>
        <v>I usually vote but this time I didn't vote</v>
      </c>
      <c r="H711" s="5" t="str">
        <f>IFERROR(__xludf.DUMMYFUNCTION("IF(U711&lt;&gt;"""", GOOGLETRANSLATE(U711, ""RO"", ""EN""), """")"),"I'm sure I voted")</f>
        <v>I'm sure I voted</v>
      </c>
      <c r="I711" s="5" t="str">
        <f>IFERROR(__xludf.DUMMYFUNCTION("IF(V711&lt;&gt;"""", GOOGLETRANSLATE(V711, ""RO"", ""EN""), """")"),"")</f>
        <v/>
      </c>
      <c r="J711" s="5" t="str">
        <f>IFERROR(__xludf.DUMMYFUNCTION("IF(W711&lt;&gt;"""", GOOGLETRANSLATE(W711, ""RO"", ""EN""), """")"),"")</f>
        <v/>
      </c>
      <c r="K711" s="5" t="str">
        <f>IFERROR(__xludf.DUMMYFUNCTION("IF(X711&lt;&gt;"""", GOOGLETRANSLATE(X711, ""RO"", ""EN""), """")"),"")</f>
        <v/>
      </c>
      <c r="L711" s="5" t="str">
        <f>IFERROR(__xludf.DUMMYFUNCTION("IF(S711&lt;&gt;"""", GOOGLETRANSLATE(S711, ""RO"", ""EN""), """")"),"Ns")</f>
        <v>Ns</v>
      </c>
      <c r="M711" s="5" t="str">
        <f>IFERROR(__xludf.DUMMYFUNCTION("IF(T711&lt;&gt;"""", GOOGLETRANSLATE(T711, ""RO"", ""EN""), """")"),"No.")</f>
        <v>No.</v>
      </c>
      <c r="N711" s="5" t="str">
        <f>IFERROR(__xludf.DUMMYFUNCTION("IF(Y711&lt;&gt;"""", GOOGLETRANSLATE(Y711, ""RO"", ""EN""), """")"),"")</f>
        <v/>
      </c>
      <c r="P711" s="4" t="s">
        <v>1406</v>
      </c>
      <c r="Q711" s="4" t="s">
        <v>1407</v>
      </c>
      <c r="R711" s="4" t="s">
        <v>1408</v>
      </c>
      <c r="S711" s="4" t="s">
        <v>103</v>
      </c>
      <c r="T711" s="4" t="s">
        <v>104</v>
      </c>
      <c r="U711" s="4" t="s">
        <v>1409</v>
      </c>
    </row>
    <row r="712" ht="15.75" customHeight="1">
      <c r="A712" s="4" t="s">
        <v>1952</v>
      </c>
      <c r="B712" s="4" t="s">
        <v>1953</v>
      </c>
      <c r="C712" s="4" t="str">
        <f>IFERROR(__xludf.DUMMYFUNCTION("GOOGLETRANSLATE(B712, ""RO"", ""EN"")"),"Estimates it certainly goes to vote")</f>
        <v>Estimates it certainly goes to vote</v>
      </c>
      <c r="D712" s="5" t="str">
        <f>IFERROR(__xludf.DUMMYFUNCTION("IF(O712&lt;&gt;"""", GOOGLETRANSLATE(O712, ""RO"", ""EN""), """")"),"")</f>
        <v/>
      </c>
      <c r="E712" s="6" t="str">
        <f>IFERROR(__xludf.DUMMYFUNCTION("IF(P712&lt;&gt;"""", GOOGLETRANSLATE(P712, ""RO"", ""EN""), """")"),"Yes")</f>
        <v>Yes</v>
      </c>
      <c r="F712" s="5" t="str">
        <f>IFERROR(__xludf.DUMMYFUNCTION("IF(Q712&lt;&gt;"""", GOOGLETRANSLATE(Q712, ""RO"", ""EN""), """")"),"not")</f>
        <v>not</v>
      </c>
      <c r="G712" s="5" t="str">
        <f>IFERROR(__xludf.DUMMYFUNCTION("IF(R712&lt;&gt;"""", GOOGLETRANSLATE(R712, ""RO"", ""EN""), """")"),"")</f>
        <v/>
      </c>
      <c r="H712" s="5" t="str">
        <f>IFERROR(__xludf.DUMMYFUNCTION("IF(U712&lt;&gt;"""", GOOGLETRANSLATE(U712, ""RO"", ""EN""), """")"),"")</f>
        <v/>
      </c>
      <c r="I712" s="5" t="str">
        <f>IFERROR(__xludf.DUMMYFUNCTION("IF(V712&lt;&gt;"""", GOOGLETRANSLATE(V712, ""RO"", ""EN""), """")"),"")</f>
        <v/>
      </c>
      <c r="J712" s="5" t="str">
        <f>IFERROR(__xludf.DUMMYFUNCTION("IF(W712&lt;&gt;"""", GOOGLETRANSLATE(W712, ""RO"", ""EN""), """")"),"")</f>
        <v/>
      </c>
      <c r="K712" s="5" t="str">
        <f>IFERROR(__xludf.DUMMYFUNCTION("IF(X712&lt;&gt;"""", GOOGLETRANSLATE(X712, ""RO"", ""EN""), """")"),"")</f>
        <v/>
      </c>
      <c r="L712" s="5" t="str">
        <f>IFERROR(__xludf.DUMMYFUNCTION("IF(S712&lt;&gt;"""", GOOGLETRANSLATE(S712, ""RO"", ""EN""), """")"),"")</f>
        <v/>
      </c>
      <c r="M712" s="5" t="str">
        <f>IFERROR(__xludf.DUMMYFUNCTION("IF(T712&lt;&gt;"""", GOOGLETRANSLATE(T712, ""RO"", ""EN""), """")"),"No.")</f>
        <v>No.</v>
      </c>
      <c r="N712" s="5" t="str">
        <f>IFERROR(__xludf.DUMMYFUNCTION("IF(Y712&lt;&gt;"""", GOOGLETRANSLATE(Y712, ""RO"", ""EN""), """")"),"")</f>
        <v/>
      </c>
      <c r="P712" s="4" t="s">
        <v>77</v>
      </c>
      <c r="Q712" s="4" t="s">
        <v>76</v>
      </c>
      <c r="T712" s="4" t="s">
        <v>104</v>
      </c>
    </row>
    <row r="713" ht="15.75" customHeight="1">
      <c r="A713" s="4" t="s">
        <v>1954</v>
      </c>
      <c r="B713" s="4" t="s">
        <v>1169</v>
      </c>
      <c r="C713" s="4" t="str">
        <f>IFERROR(__xludf.DUMMYFUNCTION("GOOGLETRANSLATE(B713, ""RO"", ""EN"")"),"Was voting in round 1")</f>
        <v>Was voting in round 1</v>
      </c>
      <c r="D713" s="5" t="str">
        <f>IFERROR(__xludf.DUMMYFUNCTION("IF(O713&lt;&gt;"""", GOOGLETRANSLATE(O713, ""RO"", ""EN""), """")"),"")</f>
        <v/>
      </c>
      <c r="E713" s="6" t="str">
        <f>IFERROR(__xludf.DUMMYFUNCTION("IF(P713&lt;&gt;"""", GOOGLETRANSLATE(P713, ""RO"", ""EN""), """")"),"Yes")</f>
        <v>Yes</v>
      </c>
      <c r="F713" s="5" t="str">
        <f>IFERROR(__xludf.DUMMYFUNCTION("IF(Q713&lt;&gt;"""", GOOGLETRANSLATE(Q713, ""RO"", ""EN""), """")"),"not")</f>
        <v>not</v>
      </c>
      <c r="G713" s="5" t="str">
        <f>IFERROR(__xludf.DUMMYFUNCTION("IF(R713&lt;&gt;"""", GOOGLETRANSLATE(R713, ""RO"", ""EN""), """")"),"")</f>
        <v/>
      </c>
      <c r="H713" s="5" t="str">
        <f>IFERROR(__xludf.DUMMYFUNCTION("IF(U713&lt;&gt;"""", GOOGLETRANSLATE(U713, ""RO"", ""EN""), """")"),"")</f>
        <v/>
      </c>
      <c r="I713" s="5" t="str">
        <f>IFERROR(__xludf.DUMMYFUNCTION("IF(V713&lt;&gt;"""", GOOGLETRANSLATE(V713, ""RO"", ""EN""), """")"),"")</f>
        <v/>
      </c>
      <c r="J713" s="5" t="str">
        <f>IFERROR(__xludf.DUMMYFUNCTION("IF(W713&lt;&gt;"""", GOOGLETRANSLATE(W713, ""RO"", ""EN""), """")"),"")</f>
        <v/>
      </c>
      <c r="K713" s="5" t="str">
        <f>IFERROR(__xludf.DUMMYFUNCTION("IF(X713&lt;&gt;"""", GOOGLETRANSLATE(X713, ""RO"", ""EN""), """")"),"")</f>
        <v/>
      </c>
      <c r="L713" s="5" t="str">
        <f>IFERROR(__xludf.DUMMYFUNCTION("IF(S713&lt;&gt;"""", GOOGLETRANSLATE(S713, ""RO"", ""EN""), """")"),"")</f>
        <v/>
      </c>
      <c r="M713" s="5" t="str">
        <f>IFERROR(__xludf.DUMMYFUNCTION("IF(T713&lt;&gt;"""", GOOGLETRANSLATE(T713, ""RO"", ""EN""), """")"),"No.")</f>
        <v>No.</v>
      </c>
      <c r="N713" s="5" t="str">
        <f>IFERROR(__xludf.DUMMYFUNCTION("IF(Y713&lt;&gt;"""", GOOGLETRANSLATE(Y713, ""RO"", ""EN""), """")"),"")</f>
        <v/>
      </c>
      <c r="P713" s="4" t="s">
        <v>77</v>
      </c>
      <c r="Q713" s="4" t="s">
        <v>76</v>
      </c>
      <c r="T713" s="4" t="s">
        <v>104</v>
      </c>
    </row>
    <row r="714" ht="15.75" customHeight="1">
      <c r="A714" s="4" t="s">
        <v>1955</v>
      </c>
      <c r="B714" s="4" t="s">
        <v>1169</v>
      </c>
      <c r="C714" s="4" t="str">
        <f>IFERROR(__xludf.DUMMYFUNCTION("GOOGLETRANSLATE(B714, ""RO"", ""EN"")"),"Was voting in round 1")</f>
        <v>Was voting in round 1</v>
      </c>
      <c r="D714" s="5" t="str">
        <f>IFERROR(__xludf.DUMMYFUNCTION("IF(O714&lt;&gt;"""", GOOGLETRANSLATE(O714, ""RO"", ""EN""), """")"),"")</f>
        <v/>
      </c>
      <c r="E714" s="6" t="str">
        <f>IFERROR(__xludf.DUMMYFUNCTION("IF(P714&lt;&gt;"""", GOOGLETRANSLATE(P714, ""RO"", ""EN""), """")"),"Yes")</f>
        <v>Yes</v>
      </c>
      <c r="F714" s="5" t="str">
        <f>IFERROR(__xludf.DUMMYFUNCTION("IF(Q714&lt;&gt;"""", GOOGLETRANSLATE(Q714, ""RO"", ""EN""), """")"),"not")</f>
        <v>not</v>
      </c>
      <c r="G714" s="5" t="str">
        <f>IFERROR(__xludf.DUMMYFUNCTION("IF(R714&lt;&gt;"""", GOOGLETRANSLATE(R714, ""RO"", ""EN""), """")"),"")</f>
        <v/>
      </c>
      <c r="H714" s="5" t="str">
        <f>IFERROR(__xludf.DUMMYFUNCTION("IF(U714&lt;&gt;"""", GOOGLETRANSLATE(U714, ""RO"", ""EN""), """")"),"")</f>
        <v/>
      </c>
      <c r="I714" s="5" t="str">
        <f>IFERROR(__xludf.DUMMYFUNCTION("IF(V714&lt;&gt;"""", GOOGLETRANSLATE(V714, ""RO"", ""EN""), """")"),"")</f>
        <v/>
      </c>
      <c r="J714" s="5" t="str">
        <f>IFERROR(__xludf.DUMMYFUNCTION("IF(W714&lt;&gt;"""", GOOGLETRANSLATE(W714, ""RO"", ""EN""), """")"),"")</f>
        <v/>
      </c>
      <c r="K714" s="5" t="str">
        <f>IFERROR(__xludf.DUMMYFUNCTION("IF(X714&lt;&gt;"""", GOOGLETRANSLATE(X714, ""RO"", ""EN""), """")"),"")</f>
        <v/>
      </c>
      <c r="L714" s="5" t="str">
        <f>IFERROR(__xludf.DUMMYFUNCTION("IF(S714&lt;&gt;"""", GOOGLETRANSLATE(S714, ""RO"", ""EN""), """")"),"")</f>
        <v/>
      </c>
      <c r="M714" s="5" t="str">
        <f>IFERROR(__xludf.DUMMYFUNCTION("IF(T714&lt;&gt;"""", GOOGLETRANSLATE(T714, ""RO"", ""EN""), """")"),"No.")</f>
        <v>No.</v>
      </c>
      <c r="N714" s="5" t="str">
        <f>IFERROR(__xludf.DUMMYFUNCTION("IF(Y714&lt;&gt;"""", GOOGLETRANSLATE(Y714, ""RO"", ""EN""), """")"),"")</f>
        <v/>
      </c>
      <c r="P714" s="4" t="s">
        <v>77</v>
      </c>
      <c r="Q714" s="4" t="s">
        <v>76</v>
      </c>
      <c r="T714" s="4" t="s">
        <v>104</v>
      </c>
    </row>
    <row r="715" ht="15.75" customHeight="1">
      <c r="A715" s="4" t="s">
        <v>1956</v>
      </c>
      <c r="B715" s="4" t="s">
        <v>1169</v>
      </c>
      <c r="C715" s="4" t="str">
        <f>IFERROR(__xludf.DUMMYFUNCTION("GOOGLETRANSLATE(B715, ""RO"", ""EN"")"),"Was voting in round 1")</f>
        <v>Was voting in round 1</v>
      </c>
      <c r="D715" s="5" t="str">
        <f>IFERROR(__xludf.DUMMYFUNCTION("IF(O715&lt;&gt;"""", GOOGLETRANSLATE(O715, ""RO"", ""EN""), """")"),"")</f>
        <v/>
      </c>
      <c r="E715" s="6" t="str">
        <f>IFERROR(__xludf.DUMMYFUNCTION("IF(P715&lt;&gt;"""", GOOGLETRANSLATE(P715, ""RO"", ""EN""), """")"),"Yes")</f>
        <v>Yes</v>
      </c>
      <c r="F715" s="5" t="str">
        <f>IFERROR(__xludf.DUMMYFUNCTION("IF(Q715&lt;&gt;"""", GOOGLETRANSLATE(Q715, ""RO"", ""EN""), """")"),"not")</f>
        <v>not</v>
      </c>
      <c r="G715" s="5" t="str">
        <f>IFERROR(__xludf.DUMMYFUNCTION("IF(R715&lt;&gt;"""", GOOGLETRANSLATE(R715, ""RO"", ""EN""), """")"),"")</f>
        <v/>
      </c>
      <c r="H715" s="5" t="str">
        <f>IFERROR(__xludf.DUMMYFUNCTION("IF(U715&lt;&gt;"""", GOOGLETRANSLATE(U715, ""RO"", ""EN""), """")"),"")</f>
        <v/>
      </c>
      <c r="I715" s="5" t="str">
        <f>IFERROR(__xludf.DUMMYFUNCTION("IF(V715&lt;&gt;"""", GOOGLETRANSLATE(V715, ""RO"", ""EN""), """")"),"")</f>
        <v/>
      </c>
      <c r="J715" s="5" t="str">
        <f>IFERROR(__xludf.DUMMYFUNCTION("IF(W715&lt;&gt;"""", GOOGLETRANSLATE(W715, ""RO"", ""EN""), """")"),"")</f>
        <v/>
      </c>
      <c r="K715" s="5" t="str">
        <f>IFERROR(__xludf.DUMMYFUNCTION("IF(X715&lt;&gt;"""", GOOGLETRANSLATE(X715, ""RO"", ""EN""), """")"),"")</f>
        <v/>
      </c>
      <c r="L715" s="5" t="str">
        <f>IFERROR(__xludf.DUMMYFUNCTION("IF(S715&lt;&gt;"""", GOOGLETRANSLATE(S715, ""RO"", ""EN""), """")"),"")</f>
        <v/>
      </c>
      <c r="M715" s="5" t="str">
        <f>IFERROR(__xludf.DUMMYFUNCTION("IF(T715&lt;&gt;"""", GOOGLETRANSLATE(T715, ""RO"", ""EN""), """")"),"No.")</f>
        <v>No.</v>
      </c>
      <c r="N715" s="5" t="str">
        <f>IFERROR(__xludf.DUMMYFUNCTION("IF(Y715&lt;&gt;"""", GOOGLETRANSLATE(Y715, ""RO"", ""EN""), """")"),"")</f>
        <v/>
      </c>
      <c r="P715" s="4" t="s">
        <v>77</v>
      </c>
      <c r="Q715" s="4" t="s">
        <v>76</v>
      </c>
      <c r="T715" s="4" t="s">
        <v>104</v>
      </c>
    </row>
    <row r="716" ht="15.75" customHeight="1">
      <c r="A716" s="4" t="s">
        <v>1957</v>
      </c>
      <c r="B716" s="4" t="s">
        <v>1958</v>
      </c>
      <c r="C716" s="4" t="str">
        <f>IFERROR(__xludf.DUMMYFUNCTION("GOOGLETRANSLATE(B716, ""RO"", ""EN"")"),"Vote Tour 1")</f>
        <v>Vote Tour 1</v>
      </c>
      <c r="D716" s="5" t="str">
        <f>IFERROR(__xludf.DUMMYFUNCTION("IF(O716&lt;&gt;"""", GOOGLETRANSLATE(O716, ""RO"", ""EN""), """")"),"")</f>
        <v/>
      </c>
      <c r="E716" s="6" t="str">
        <f>IFERROR(__xludf.DUMMYFUNCTION("IF(P716&lt;&gt;"""", GOOGLETRANSLATE(P716, ""RO"", ""EN""), """")"),"Mircea Geoana")</f>
        <v>Mircea Geoana</v>
      </c>
      <c r="F716" s="5" t="str">
        <f>IFERROR(__xludf.DUMMYFUNCTION("IF(Q716&lt;&gt;"""", GOOGLETRANSLATE(Q716, ""RO"", ""EN""), """")"),"Crin Antonescu")</f>
        <v>Crin Antonescu</v>
      </c>
      <c r="G716" s="5" t="str">
        <f>IFERROR(__xludf.DUMMYFUNCTION("IF(R716&lt;&gt;"""", GOOGLETRANSLATE(R716, ""RO"", ""EN""), """")"),"Traian Basescu")</f>
        <v>Traian Basescu</v>
      </c>
      <c r="H716" s="5" t="str">
        <f>IFERROR(__xludf.DUMMYFUNCTION("IF(U716&lt;&gt;"""", GOOGLETRANSLATE(U716, ""RO"", ""EN""), """")"),"Sorin Oprescu")</f>
        <v>Sorin Oprescu</v>
      </c>
      <c r="I716" s="5" t="str">
        <f>IFERROR(__xludf.DUMMYFUNCTION("IF(V716&lt;&gt;"""", GOOGLETRANSLATE(V716, ""RO"", ""EN""), """")"),"Corneliu Vadim Tudor")</f>
        <v>Corneliu Vadim Tudor</v>
      </c>
      <c r="J716" s="5" t="str">
        <f>IFERROR(__xludf.DUMMYFUNCTION("IF(W716&lt;&gt;"""", GOOGLETRANSLATE(W716, ""RO"", ""EN""), """")"),"Kelemen Hunor")</f>
        <v>Kelemen Hunor</v>
      </c>
      <c r="K716" s="5" t="str">
        <f>IFERROR(__xludf.DUMMYFUNCTION("IF(X716&lt;&gt;"""", GOOGLETRANSLATE(X716, ""RO"", ""EN""), """")"),"George Becali")</f>
        <v>George Becali</v>
      </c>
      <c r="L716" s="5" t="str">
        <f>IFERROR(__xludf.DUMMYFUNCTION("IF(S716&lt;&gt;"""", GOOGLETRANSLATE(S716, ""RO"", ""EN""), """")"),"Another candidate")</f>
        <v>Another candidate</v>
      </c>
      <c r="M716" s="5" t="str">
        <f>IFERROR(__xludf.DUMMYFUNCTION("IF(T716&lt;&gt;"""", GOOGLETRANSLATE(T716, ""RO"", ""EN""), """")"),"")</f>
        <v/>
      </c>
      <c r="N716" s="5" t="str">
        <f>IFERROR(__xludf.DUMMYFUNCTION("IF(Y716&lt;&gt;"""", GOOGLETRANSLATE(Y716, ""RO"", ""EN""), """")"),"")</f>
        <v/>
      </c>
      <c r="P716" s="4" t="s">
        <v>219</v>
      </c>
      <c r="Q716" s="4" t="s">
        <v>220</v>
      </c>
      <c r="R716" s="4" t="s">
        <v>221</v>
      </c>
      <c r="S716" s="4" t="s">
        <v>485</v>
      </c>
      <c r="U716" s="4" t="s">
        <v>223</v>
      </c>
      <c r="V716" s="4" t="s">
        <v>224</v>
      </c>
      <c r="W716" s="4" t="s">
        <v>225</v>
      </c>
      <c r="X716" s="4" t="s">
        <v>226</v>
      </c>
      <c r="Z716" s="4" t="s">
        <v>486</v>
      </c>
      <c r="AA716" s="4" t="s">
        <v>491</v>
      </c>
      <c r="AB716" s="4" t="s">
        <v>215</v>
      </c>
      <c r="AC716" s="4" t="s">
        <v>488</v>
      </c>
      <c r="AD716" s="4" t="s">
        <v>489</v>
      </c>
    </row>
    <row r="717" ht="15.75" customHeight="1">
      <c r="A717" s="4" t="s">
        <v>1959</v>
      </c>
      <c r="B717" s="4" t="s">
        <v>1958</v>
      </c>
      <c r="C717" s="4" t="str">
        <f>IFERROR(__xludf.DUMMYFUNCTION("GOOGLETRANSLATE(B717, ""RO"", ""EN"")"),"Vote Tour 1")</f>
        <v>Vote Tour 1</v>
      </c>
      <c r="D717" s="5" t="str">
        <f>IFERROR(__xludf.DUMMYFUNCTION("IF(O717&lt;&gt;"""", GOOGLETRANSLATE(O717, ""RO"", ""EN""), """")"),"")</f>
        <v/>
      </c>
      <c r="E717" s="6" t="str">
        <f>IFERROR(__xludf.DUMMYFUNCTION("IF(P717&lt;&gt;"""", GOOGLETRANSLATE(P717, ""RO"", ""EN""), """")"),"Mircea Geoana")</f>
        <v>Mircea Geoana</v>
      </c>
      <c r="F717" s="5" t="str">
        <f>IFERROR(__xludf.DUMMYFUNCTION("IF(Q717&lt;&gt;"""", GOOGLETRANSLATE(Q717, ""RO"", ""EN""), """")"),"Crin Antonescu")</f>
        <v>Crin Antonescu</v>
      </c>
      <c r="G717" s="5" t="str">
        <f>IFERROR(__xludf.DUMMYFUNCTION("IF(R717&lt;&gt;"""", GOOGLETRANSLATE(R717, ""RO"", ""EN""), """")"),"Traian Basescu")</f>
        <v>Traian Basescu</v>
      </c>
      <c r="H717" s="5" t="str">
        <f>IFERROR(__xludf.DUMMYFUNCTION("IF(U717&lt;&gt;"""", GOOGLETRANSLATE(U717, ""RO"", ""EN""), """")"),"Sorin Oprescu")</f>
        <v>Sorin Oprescu</v>
      </c>
      <c r="I717" s="5" t="str">
        <f>IFERROR(__xludf.DUMMYFUNCTION("IF(V717&lt;&gt;"""", GOOGLETRANSLATE(V717, ""RO"", ""EN""), """")"),"Corneliu Vadim Tudor")</f>
        <v>Corneliu Vadim Tudor</v>
      </c>
      <c r="J717" s="5" t="str">
        <f>IFERROR(__xludf.DUMMYFUNCTION("IF(W717&lt;&gt;"""", GOOGLETRANSLATE(W717, ""RO"", ""EN""), """")"),"Kelemen Hunor")</f>
        <v>Kelemen Hunor</v>
      </c>
      <c r="K717" s="5" t="str">
        <f>IFERROR(__xludf.DUMMYFUNCTION("IF(X717&lt;&gt;"""", GOOGLETRANSLATE(X717, ""RO"", ""EN""), """")"),"George Becali")</f>
        <v>George Becali</v>
      </c>
      <c r="L717" s="5" t="str">
        <f>IFERROR(__xludf.DUMMYFUNCTION("IF(S717&lt;&gt;"""", GOOGLETRANSLATE(S717, ""RO"", ""EN""), """")"),"Another candidate")</f>
        <v>Another candidate</v>
      </c>
      <c r="M717" s="5" t="str">
        <f>IFERROR(__xludf.DUMMYFUNCTION("IF(T717&lt;&gt;"""", GOOGLETRANSLATE(T717, ""RO"", ""EN""), """")"),"")</f>
        <v/>
      </c>
      <c r="N717" s="5" t="str">
        <f>IFERROR(__xludf.DUMMYFUNCTION("IF(Y717&lt;&gt;"""", GOOGLETRANSLATE(Y717, ""RO"", ""EN""), """")"),"")</f>
        <v/>
      </c>
      <c r="P717" s="4" t="s">
        <v>219</v>
      </c>
      <c r="Q717" s="4" t="s">
        <v>220</v>
      </c>
      <c r="R717" s="4" t="s">
        <v>221</v>
      </c>
      <c r="S717" s="4" t="s">
        <v>485</v>
      </c>
      <c r="U717" s="4" t="s">
        <v>223</v>
      </c>
      <c r="V717" s="4" t="s">
        <v>224</v>
      </c>
      <c r="W717" s="4" t="s">
        <v>225</v>
      </c>
      <c r="X717" s="4" t="s">
        <v>226</v>
      </c>
      <c r="Z717" s="4" t="s">
        <v>1172</v>
      </c>
      <c r="AA717" s="4" t="s">
        <v>214</v>
      </c>
      <c r="AB717" s="4" t="s">
        <v>215</v>
      </c>
      <c r="AC717" s="4" t="s">
        <v>488</v>
      </c>
      <c r="AD717" s="4" t="s">
        <v>1173</v>
      </c>
    </row>
    <row r="718" ht="15.75" customHeight="1">
      <c r="A718" s="4" t="s">
        <v>1960</v>
      </c>
      <c r="B718" s="4" t="s">
        <v>1958</v>
      </c>
      <c r="C718" s="4" t="str">
        <f>IFERROR(__xludf.DUMMYFUNCTION("GOOGLETRANSLATE(B718, ""RO"", ""EN"")"),"Vote Tour 1")</f>
        <v>Vote Tour 1</v>
      </c>
      <c r="D718" s="5" t="str">
        <f>IFERROR(__xludf.DUMMYFUNCTION("IF(O718&lt;&gt;"""", GOOGLETRANSLATE(O718, ""RO"", ""EN""), """")"),"")</f>
        <v/>
      </c>
      <c r="E718" s="6" t="str">
        <f>IFERROR(__xludf.DUMMYFUNCTION("IF(P718&lt;&gt;"""", GOOGLETRANSLATE(P718, ""RO"", ""EN""), """")"),"Mircea Geoana")</f>
        <v>Mircea Geoana</v>
      </c>
      <c r="F718" s="5" t="str">
        <f>IFERROR(__xludf.DUMMYFUNCTION("IF(Q718&lt;&gt;"""", GOOGLETRANSLATE(Q718, ""RO"", ""EN""), """")"),"Crin Antonescu")</f>
        <v>Crin Antonescu</v>
      </c>
      <c r="G718" s="5" t="str">
        <f>IFERROR(__xludf.DUMMYFUNCTION("IF(R718&lt;&gt;"""", GOOGLETRANSLATE(R718, ""RO"", ""EN""), """")"),"Traian Basescu")</f>
        <v>Traian Basescu</v>
      </c>
      <c r="H718" s="5" t="str">
        <f>IFERROR(__xludf.DUMMYFUNCTION("IF(U718&lt;&gt;"""", GOOGLETRANSLATE(U718, ""RO"", ""EN""), """")"),"Sorin Oprescu")</f>
        <v>Sorin Oprescu</v>
      </c>
      <c r="I718" s="5" t="str">
        <f>IFERROR(__xludf.DUMMYFUNCTION("IF(V718&lt;&gt;"""", GOOGLETRANSLATE(V718, ""RO"", ""EN""), """")"),"Corneliu Vadim Tudor")</f>
        <v>Corneliu Vadim Tudor</v>
      </c>
      <c r="J718" s="5" t="str">
        <f>IFERROR(__xludf.DUMMYFUNCTION("IF(W718&lt;&gt;"""", GOOGLETRANSLATE(W718, ""RO"", ""EN""), """")"),"Kelemen Hunor")</f>
        <v>Kelemen Hunor</v>
      </c>
      <c r="K718" s="5" t="str">
        <f>IFERROR(__xludf.DUMMYFUNCTION("IF(X718&lt;&gt;"""", GOOGLETRANSLATE(X718, ""RO"", ""EN""), """")"),"George Becali")</f>
        <v>George Becali</v>
      </c>
      <c r="L718" s="5" t="str">
        <f>IFERROR(__xludf.DUMMYFUNCTION("IF(S718&lt;&gt;"""", GOOGLETRANSLATE(S718, ""RO"", ""EN""), """")"),"Another candidate")</f>
        <v>Another candidate</v>
      </c>
      <c r="M718" s="5" t="str">
        <f>IFERROR(__xludf.DUMMYFUNCTION("IF(T718&lt;&gt;"""", GOOGLETRANSLATE(T718, ""RO"", ""EN""), """")"),"")</f>
        <v/>
      </c>
      <c r="N718" s="5" t="str">
        <f>IFERROR(__xludf.DUMMYFUNCTION("IF(Y718&lt;&gt;"""", GOOGLETRANSLATE(Y718, ""RO"", ""EN""), """")"),"")</f>
        <v/>
      </c>
      <c r="P718" s="4" t="s">
        <v>219</v>
      </c>
      <c r="Q718" s="4" t="s">
        <v>220</v>
      </c>
      <c r="R718" s="4" t="s">
        <v>221</v>
      </c>
      <c r="S718" s="4" t="s">
        <v>485</v>
      </c>
      <c r="U718" s="4" t="s">
        <v>223</v>
      </c>
      <c r="V718" s="4" t="s">
        <v>224</v>
      </c>
      <c r="W718" s="4" t="s">
        <v>225</v>
      </c>
      <c r="X718" s="4" t="s">
        <v>226</v>
      </c>
      <c r="Z718" s="4" t="s">
        <v>1172</v>
      </c>
      <c r="AA718" s="4" t="s">
        <v>214</v>
      </c>
      <c r="AB718" s="4" t="s">
        <v>215</v>
      </c>
      <c r="AC718" s="4" t="s">
        <v>488</v>
      </c>
      <c r="AD718" s="4" t="s">
        <v>1173</v>
      </c>
    </row>
    <row r="719" ht="15.75" customHeight="1">
      <c r="A719" s="4" t="s">
        <v>1961</v>
      </c>
      <c r="B719" s="4" t="s">
        <v>1958</v>
      </c>
      <c r="C719" s="4" t="str">
        <f>IFERROR(__xludf.DUMMYFUNCTION("GOOGLETRANSLATE(B719, ""RO"", ""EN"")"),"Vote Tour 1")</f>
        <v>Vote Tour 1</v>
      </c>
      <c r="D719" s="5" t="str">
        <f>IFERROR(__xludf.DUMMYFUNCTION("IF(O719&lt;&gt;"""", GOOGLETRANSLATE(O719, ""RO"", ""EN""), """")"),"")</f>
        <v/>
      </c>
      <c r="E719" s="6" t="str">
        <f>IFERROR(__xludf.DUMMYFUNCTION("IF(P719&lt;&gt;"""", GOOGLETRANSLATE(P719, ""RO"", ""EN""), """")"),"Mircea Geoana")</f>
        <v>Mircea Geoana</v>
      </c>
      <c r="F719" s="5" t="str">
        <f>IFERROR(__xludf.DUMMYFUNCTION("IF(Q719&lt;&gt;"""", GOOGLETRANSLATE(Q719, ""RO"", ""EN""), """")"),"Crin Antonescu")</f>
        <v>Crin Antonescu</v>
      </c>
      <c r="G719" s="5" t="str">
        <f>IFERROR(__xludf.DUMMYFUNCTION("IF(R719&lt;&gt;"""", GOOGLETRANSLATE(R719, ""RO"", ""EN""), """")"),"Traian Basescu")</f>
        <v>Traian Basescu</v>
      </c>
      <c r="H719" s="5" t="str">
        <f>IFERROR(__xludf.DUMMYFUNCTION("IF(U719&lt;&gt;"""", GOOGLETRANSLATE(U719, ""RO"", ""EN""), """")"),"Sorin Oprescu")</f>
        <v>Sorin Oprescu</v>
      </c>
      <c r="I719" s="5" t="str">
        <f>IFERROR(__xludf.DUMMYFUNCTION("IF(V719&lt;&gt;"""", GOOGLETRANSLATE(V719, ""RO"", ""EN""), """")"),"Corneliu Vadim Tudor")</f>
        <v>Corneliu Vadim Tudor</v>
      </c>
      <c r="J719" s="5" t="str">
        <f>IFERROR(__xludf.DUMMYFUNCTION("IF(W719&lt;&gt;"""", GOOGLETRANSLATE(W719, ""RO"", ""EN""), """")"),"Kelemen Hunor")</f>
        <v>Kelemen Hunor</v>
      </c>
      <c r="K719" s="5" t="str">
        <f>IFERROR(__xludf.DUMMYFUNCTION("IF(X719&lt;&gt;"""", GOOGLETRANSLATE(X719, ""RO"", ""EN""), """")"),"George Becali")</f>
        <v>George Becali</v>
      </c>
      <c r="L719" s="5" t="str">
        <f>IFERROR(__xludf.DUMMYFUNCTION("IF(S719&lt;&gt;"""", GOOGLETRANSLATE(S719, ""RO"", ""EN""), """")"),"Another candidate")</f>
        <v>Another candidate</v>
      </c>
      <c r="M719" s="5" t="str">
        <f>IFERROR(__xludf.DUMMYFUNCTION("IF(T719&lt;&gt;"""", GOOGLETRANSLATE(T719, ""RO"", ""EN""), """")"),"")</f>
        <v/>
      </c>
      <c r="N719" s="5" t="str">
        <f>IFERROR(__xludf.DUMMYFUNCTION("IF(Y719&lt;&gt;"""", GOOGLETRANSLATE(Y719, ""RO"", ""EN""), """")"),"")</f>
        <v/>
      </c>
      <c r="P719" s="4" t="s">
        <v>219</v>
      </c>
      <c r="Q719" s="4" t="s">
        <v>220</v>
      </c>
      <c r="R719" s="4" t="s">
        <v>221</v>
      </c>
      <c r="S719" s="4" t="s">
        <v>485</v>
      </c>
      <c r="U719" s="4" t="s">
        <v>223</v>
      </c>
      <c r="V719" s="4" t="s">
        <v>224</v>
      </c>
      <c r="W719" s="4" t="s">
        <v>225</v>
      </c>
      <c r="X719" s="4" t="s">
        <v>226</v>
      </c>
      <c r="AA719" s="4" t="s">
        <v>214</v>
      </c>
      <c r="AB719" s="4" t="s">
        <v>215</v>
      </c>
      <c r="AC719" s="4" t="s">
        <v>488</v>
      </c>
      <c r="AD719" s="4" t="s">
        <v>1173</v>
      </c>
    </row>
    <row r="720" ht="15.75" customHeight="1">
      <c r="A720" s="4" t="s">
        <v>1962</v>
      </c>
      <c r="B720" s="4" t="s">
        <v>1963</v>
      </c>
      <c r="C720" s="4" t="str">
        <f>IFERROR(__xludf.DUMMYFUNCTION("GOOGLETRANSLATE(B720, ""RO"", ""EN"")"),"The President of Romania is elected for a period of 4 years.")</f>
        <v>The President of Romania is elected for a period of 4 years.</v>
      </c>
      <c r="D720" s="5" t="str">
        <f>IFERROR(__xludf.DUMMYFUNCTION("IF(O720&lt;&gt;"""", GOOGLETRANSLATE(O720, ""RO"", ""EN""), """")"),"")</f>
        <v/>
      </c>
      <c r="E720" s="6" t="str">
        <f>IFERROR(__xludf.DUMMYFUNCTION("IF(P720&lt;&gt;"""", GOOGLETRANSLATE(P720, ""RO"", ""EN""), """")"),"")</f>
        <v/>
      </c>
      <c r="F720" s="5" t="str">
        <f>IFERROR(__xludf.DUMMYFUNCTION("IF(Q720&lt;&gt;"""", GOOGLETRANSLATE(Q720, ""RO"", ""EN""), """")"),"")</f>
        <v/>
      </c>
      <c r="G720" s="5" t="str">
        <f>IFERROR(__xludf.DUMMYFUNCTION("IF(R720&lt;&gt;"""", GOOGLETRANSLATE(R720, ""RO"", ""EN""), """")"),"")</f>
        <v/>
      </c>
      <c r="H720" s="5" t="str">
        <f>IFERROR(__xludf.DUMMYFUNCTION("IF(U720&lt;&gt;"""", GOOGLETRANSLATE(U720, ""RO"", ""EN""), """")"),"")</f>
        <v/>
      </c>
      <c r="I720" s="5" t="str">
        <f>IFERROR(__xludf.DUMMYFUNCTION("IF(V720&lt;&gt;"""", GOOGLETRANSLATE(V720, ""RO"", ""EN""), """")"),"")</f>
        <v/>
      </c>
      <c r="J720" s="5" t="str">
        <f>IFERROR(__xludf.DUMMYFUNCTION("IF(W720&lt;&gt;"""", GOOGLETRANSLATE(W720, ""RO"", ""EN""), """")"),"")</f>
        <v/>
      </c>
      <c r="K720" s="5" t="str">
        <f>IFERROR(__xludf.DUMMYFUNCTION("IF(X720&lt;&gt;"""", GOOGLETRANSLATE(X720, ""RO"", ""EN""), """")"),"")</f>
        <v/>
      </c>
      <c r="L720" s="5" t="str">
        <f>IFERROR(__xludf.DUMMYFUNCTION("IF(S720&lt;&gt;"""", GOOGLETRANSLATE(S720, ""RO"", ""EN""), """")"),"")</f>
        <v/>
      </c>
      <c r="M720" s="5" t="str">
        <f>IFERROR(__xludf.DUMMYFUNCTION("IF(T720&lt;&gt;"""", GOOGLETRANSLATE(T720, ""RO"", ""EN""), """")"),"")</f>
        <v/>
      </c>
      <c r="N720" s="5" t="str">
        <f>IFERROR(__xludf.DUMMYFUNCTION("IF(Y720&lt;&gt;"""", GOOGLETRANSLATE(Y720, ""RO"", ""EN""), """")"),"")</f>
        <v/>
      </c>
    </row>
    <row r="721" ht="15.75" customHeight="1">
      <c r="A721" s="4" t="s">
        <v>1964</v>
      </c>
      <c r="B721" s="4" t="s">
        <v>1965</v>
      </c>
      <c r="C721" s="4" t="str">
        <f>IFERROR(__xludf.DUMMYFUNCTION("GOOGLETRANSLATE(B721, ""RO"", ""EN"")"),"A person? can only be president of Romania only two? mandates.")</f>
        <v>A person? can only be president of Romania only two? mandates.</v>
      </c>
      <c r="D721" s="5" t="str">
        <f>IFERROR(__xludf.DUMMYFUNCTION("IF(O721&lt;&gt;"""", GOOGLETRANSLATE(O721, ""RO"", ""EN""), """")"),"")</f>
        <v/>
      </c>
      <c r="E721" s="6" t="str">
        <f>IFERROR(__xludf.DUMMYFUNCTION("IF(P721&lt;&gt;"""", GOOGLETRANSLATE(P721, ""RO"", ""EN""), """")"),"")</f>
        <v/>
      </c>
      <c r="F721" s="5" t="str">
        <f>IFERROR(__xludf.DUMMYFUNCTION("IF(Q721&lt;&gt;"""", GOOGLETRANSLATE(Q721, ""RO"", ""EN""), """")"),"")</f>
        <v/>
      </c>
      <c r="G721" s="5" t="str">
        <f>IFERROR(__xludf.DUMMYFUNCTION("IF(R721&lt;&gt;"""", GOOGLETRANSLATE(R721, ""RO"", ""EN""), """")"),"")</f>
        <v/>
      </c>
      <c r="H721" s="5" t="str">
        <f>IFERROR(__xludf.DUMMYFUNCTION("IF(U721&lt;&gt;"""", GOOGLETRANSLATE(U721, ""RO"", ""EN""), """")"),"")</f>
        <v/>
      </c>
      <c r="I721" s="5" t="str">
        <f>IFERROR(__xludf.DUMMYFUNCTION("IF(V721&lt;&gt;"""", GOOGLETRANSLATE(V721, ""RO"", ""EN""), """")"),"")</f>
        <v/>
      </c>
      <c r="J721" s="5" t="str">
        <f>IFERROR(__xludf.DUMMYFUNCTION("IF(W721&lt;&gt;"""", GOOGLETRANSLATE(W721, ""RO"", ""EN""), """")"),"")</f>
        <v/>
      </c>
      <c r="K721" s="5" t="str">
        <f>IFERROR(__xludf.DUMMYFUNCTION("IF(X721&lt;&gt;"""", GOOGLETRANSLATE(X721, ""RO"", ""EN""), """")"),"")</f>
        <v/>
      </c>
      <c r="L721" s="5" t="str">
        <f>IFERROR(__xludf.DUMMYFUNCTION("IF(S721&lt;&gt;"""", GOOGLETRANSLATE(S721, ""RO"", ""EN""), """")"),"")</f>
        <v/>
      </c>
      <c r="M721" s="5" t="str">
        <f>IFERROR(__xludf.DUMMYFUNCTION("IF(T721&lt;&gt;"""", GOOGLETRANSLATE(T721, ""RO"", ""EN""), """")"),"")</f>
        <v/>
      </c>
      <c r="N721" s="5" t="str">
        <f>IFERROR(__xludf.DUMMYFUNCTION("IF(Y721&lt;&gt;"""", GOOGLETRANSLATE(Y721, ""RO"", ""EN""), """")"),"")</f>
        <v/>
      </c>
    </row>
    <row r="722" ht="15.75" customHeight="1">
      <c r="A722" s="4" t="s">
        <v>1966</v>
      </c>
      <c r="B722" s="4" t="s">
        <v>1967</v>
      </c>
      <c r="C722" s="4" t="str">
        <f>IFERROR(__xludf.DUMMYFUNCTION("GOOGLETRANSLATE(B722, ""RO"", ""EN"")"),"According to the Constitution, the mini in a government are the president.")</f>
        <v>According to the Constitution, the mini in a government are the president.</v>
      </c>
      <c r="D722" s="5" t="str">
        <f>IFERROR(__xludf.DUMMYFUNCTION("IF(O722&lt;&gt;"""", GOOGLETRANSLATE(O722, ""RO"", ""EN""), """")"),"")</f>
        <v/>
      </c>
      <c r="E722" s="6" t="str">
        <f>IFERROR(__xludf.DUMMYFUNCTION("IF(P722&lt;&gt;"""", GOOGLETRANSLATE(P722, ""RO"", ""EN""), """")"),"")</f>
        <v/>
      </c>
      <c r="F722" s="5" t="str">
        <f>IFERROR(__xludf.DUMMYFUNCTION("IF(Q722&lt;&gt;"""", GOOGLETRANSLATE(Q722, ""RO"", ""EN""), """")"),"")</f>
        <v/>
      </c>
      <c r="G722" s="5" t="str">
        <f>IFERROR(__xludf.DUMMYFUNCTION("IF(R722&lt;&gt;"""", GOOGLETRANSLATE(R722, ""RO"", ""EN""), """")"),"")</f>
        <v/>
      </c>
      <c r="H722" s="5" t="str">
        <f>IFERROR(__xludf.DUMMYFUNCTION("IF(U722&lt;&gt;"""", GOOGLETRANSLATE(U722, ""RO"", ""EN""), """")"),"")</f>
        <v/>
      </c>
      <c r="I722" s="5" t="str">
        <f>IFERROR(__xludf.DUMMYFUNCTION("IF(V722&lt;&gt;"""", GOOGLETRANSLATE(V722, ""RO"", ""EN""), """")"),"")</f>
        <v/>
      </c>
      <c r="J722" s="5" t="str">
        <f>IFERROR(__xludf.DUMMYFUNCTION("IF(W722&lt;&gt;"""", GOOGLETRANSLATE(W722, ""RO"", ""EN""), """")"),"")</f>
        <v/>
      </c>
      <c r="K722" s="5" t="str">
        <f>IFERROR(__xludf.DUMMYFUNCTION("IF(X722&lt;&gt;"""", GOOGLETRANSLATE(X722, ""RO"", ""EN""), """")"),"")</f>
        <v/>
      </c>
      <c r="L722" s="5" t="str">
        <f>IFERROR(__xludf.DUMMYFUNCTION("IF(S722&lt;&gt;"""", GOOGLETRANSLATE(S722, ""RO"", ""EN""), """")"),"")</f>
        <v/>
      </c>
      <c r="M722" s="5" t="str">
        <f>IFERROR(__xludf.DUMMYFUNCTION("IF(T722&lt;&gt;"""", GOOGLETRANSLATE(T722, ""RO"", ""EN""), """")"),"")</f>
        <v/>
      </c>
      <c r="N722" s="5" t="str">
        <f>IFERROR(__xludf.DUMMYFUNCTION("IF(Y722&lt;&gt;"""", GOOGLETRANSLATE(Y722, ""RO"", ""EN""), """")"),"")</f>
        <v/>
      </c>
    </row>
    <row r="723" ht="15.75" customHeight="1">
      <c r="A723" s="4" t="s">
        <v>1968</v>
      </c>
      <c r="B723" s="4" t="s">
        <v>1969</v>
      </c>
      <c r="C723" s="4" t="str">
        <f>IFERROR(__xludf.DUMMYFUNCTION("GOOGLETRANSLATE(B723, ""RO"", ""EN"")"),"One of the roles of the president is to represent Romania in external relations.")</f>
        <v>One of the roles of the president is to represent Romania in external relations.</v>
      </c>
      <c r="D723" s="5" t="str">
        <f>IFERROR(__xludf.DUMMYFUNCTION("IF(O723&lt;&gt;"""", GOOGLETRANSLATE(O723, ""RO"", ""EN""), """")"),"")</f>
        <v/>
      </c>
      <c r="E723" s="6" t="str">
        <f>IFERROR(__xludf.DUMMYFUNCTION("IF(P723&lt;&gt;"""", GOOGLETRANSLATE(P723, ""RO"", ""EN""), """")"),"")</f>
        <v/>
      </c>
      <c r="F723" s="5" t="str">
        <f>IFERROR(__xludf.DUMMYFUNCTION("IF(Q723&lt;&gt;"""", GOOGLETRANSLATE(Q723, ""RO"", ""EN""), """")"),"")</f>
        <v/>
      </c>
      <c r="G723" s="5" t="str">
        <f>IFERROR(__xludf.DUMMYFUNCTION("IF(R723&lt;&gt;"""", GOOGLETRANSLATE(R723, ""RO"", ""EN""), """")"),"")</f>
        <v/>
      </c>
      <c r="H723" s="5" t="str">
        <f>IFERROR(__xludf.DUMMYFUNCTION("IF(U723&lt;&gt;"""", GOOGLETRANSLATE(U723, ""RO"", ""EN""), """")"),"")</f>
        <v/>
      </c>
      <c r="I723" s="5" t="str">
        <f>IFERROR(__xludf.DUMMYFUNCTION("IF(V723&lt;&gt;"""", GOOGLETRANSLATE(V723, ""RO"", ""EN""), """")"),"")</f>
        <v/>
      </c>
      <c r="J723" s="5" t="str">
        <f>IFERROR(__xludf.DUMMYFUNCTION("IF(W723&lt;&gt;"""", GOOGLETRANSLATE(W723, ""RO"", ""EN""), """")"),"")</f>
        <v/>
      </c>
      <c r="K723" s="5" t="str">
        <f>IFERROR(__xludf.DUMMYFUNCTION("IF(X723&lt;&gt;"""", GOOGLETRANSLATE(X723, ""RO"", ""EN""), """")"),"")</f>
        <v/>
      </c>
      <c r="L723" s="5" t="str">
        <f>IFERROR(__xludf.DUMMYFUNCTION("IF(S723&lt;&gt;"""", GOOGLETRANSLATE(S723, ""RO"", ""EN""), """")"),"")</f>
        <v/>
      </c>
      <c r="M723" s="5" t="str">
        <f>IFERROR(__xludf.DUMMYFUNCTION("IF(T723&lt;&gt;"""", GOOGLETRANSLATE(T723, ""RO"", ""EN""), """")"),"")</f>
        <v/>
      </c>
      <c r="N723" s="5" t="str">
        <f>IFERROR(__xludf.DUMMYFUNCTION("IF(Y723&lt;&gt;"""", GOOGLETRANSLATE(Y723, ""RO"", ""EN""), """")"),"")</f>
        <v/>
      </c>
    </row>
    <row r="724" ht="15.75" customHeight="1">
      <c r="A724" s="4" t="s">
        <v>1970</v>
      </c>
      <c r="B724" s="4" t="s">
        <v>1971</v>
      </c>
      <c r="C724" s="4" t="str">
        <f>IFERROR(__xludf.DUMMYFUNCTION("GOOGLETRANSLATE(B724, ""RO"", ""EN"")"),"In certain conditions, the president has the right to dissolve the Parliament.")</f>
        <v>In certain conditions, the president has the right to dissolve the Parliament.</v>
      </c>
      <c r="D724" s="5" t="str">
        <f>IFERROR(__xludf.DUMMYFUNCTION("IF(O724&lt;&gt;"""", GOOGLETRANSLATE(O724, ""RO"", ""EN""), """")"),"")</f>
        <v/>
      </c>
      <c r="E724" s="6" t="str">
        <f>IFERROR(__xludf.DUMMYFUNCTION("IF(P724&lt;&gt;"""", GOOGLETRANSLATE(P724, ""RO"", ""EN""), """")"),"")</f>
        <v/>
      </c>
      <c r="F724" s="5" t="str">
        <f>IFERROR(__xludf.DUMMYFUNCTION("IF(Q724&lt;&gt;"""", GOOGLETRANSLATE(Q724, ""RO"", ""EN""), """")"),"")</f>
        <v/>
      </c>
      <c r="G724" s="5" t="str">
        <f>IFERROR(__xludf.DUMMYFUNCTION("IF(R724&lt;&gt;"""", GOOGLETRANSLATE(R724, ""RO"", ""EN""), """")"),"")</f>
        <v/>
      </c>
      <c r="H724" s="5" t="str">
        <f>IFERROR(__xludf.DUMMYFUNCTION("IF(U724&lt;&gt;"""", GOOGLETRANSLATE(U724, ""RO"", ""EN""), """")"),"")</f>
        <v/>
      </c>
      <c r="I724" s="5" t="str">
        <f>IFERROR(__xludf.DUMMYFUNCTION("IF(V724&lt;&gt;"""", GOOGLETRANSLATE(V724, ""RO"", ""EN""), """")"),"")</f>
        <v/>
      </c>
      <c r="J724" s="5" t="str">
        <f>IFERROR(__xludf.DUMMYFUNCTION("IF(W724&lt;&gt;"""", GOOGLETRANSLATE(W724, ""RO"", ""EN""), """")"),"")</f>
        <v/>
      </c>
      <c r="K724" s="5" t="str">
        <f>IFERROR(__xludf.DUMMYFUNCTION("IF(X724&lt;&gt;"""", GOOGLETRANSLATE(X724, ""RO"", ""EN""), """")"),"")</f>
        <v/>
      </c>
      <c r="L724" s="5" t="str">
        <f>IFERROR(__xludf.DUMMYFUNCTION("IF(S724&lt;&gt;"""", GOOGLETRANSLATE(S724, ""RO"", ""EN""), """")"),"")</f>
        <v/>
      </c>
      <c r="M724" s="5" t="str">
        <f>IFERROR(__xludf.DUMMYFUNCTION("IF(T724&lt;&gt;"""", GOOGLETRANSLATE(T724, ""RO"", ""EN""), """")"),"")</f>
        <v/>
      </c>
      <c r="N724" s="5" t="str">
        <f>IFERROR(__xludf.DUMMYFUNCTION("IF(Y724&lt;&gt;"""", GOOGLETRANSLATE(Y724, ""RO"", ""EN""), """")"),"")</f>
        <v/>
      </c>
    </row>
    <row r="725" ht="15.75" customHeight="1">
      <c r="A725" s="4" t="s">
        <v>1972</v>
      </c>
      <c r="B725" s="4" t="s">
        <v>1973</v>
      </c>
      <c r="C725" s="4" t="str">
        <f>IFERROR(__xludf.DUMMYFUNCTION("GOOGLETRANSLATE(B725, ""RO"", ""EN"")"),"In Romania, the polling stations are closed at new hour? in the evening.")</f>
        <v>In Romania, the polling stations are closed at new hour? in the evening.</v>
      </c>
      <c r="D725" s="5" t="str">
        <f>IFERROR(__xludf.DUMMYFUNCTION("IF(O725&lt;&gt;"""", GOOGLETRANSLATE(O725, ""RO"", ""EN""), """")"),"")</f>
        <v/>
      </c>
      <c r="E725" s="6" t="str">
        <f>IFERROR(__xludf.DUMMYFUNCTION("IF(P725&lt;&gt;"""", GOOGLETRANSLATE(P725, ""RO"", ""EN""), """")"),"")</f>
        <v/>
      </c>
      <c r="F725" s="5" t="str">
        <f>IFERROR(__xludf.DUMMYFUNCTION("IF(Q725&lt;&gt;"""", GOOGLETRANSLATE(Q725, ""RO"", ""EN""), """")"),"")</f>
        <v/>
      </c>
      <c r="G725" s="5" t="str">
        <f>IFERROR(__xludf.DUMMYFUNCTION("IF(R725&lt;&gt;"""", GOOGLETRANSLATE(R725, ""RO"", ""EN""), """")"),"")</f>
        <v/>
      </c>
      <c r="H725" s="5" t="str">
        <f>IFERROR(__xludf.DUMMYFUNCTION("IF(U725&lt;&gt;"""", GOOGLETRANSLATE(U725, ""RO"", ""EN""), """")"),"")</f>
        <v/>
      </c>
      <c r="I725" s="5" t="str">
        <f>IFERROR(__xludf.DUMMYFUNCTION("IF(V725&lt;&gt;"""", GOOGLETRANSLATE(V725, ""RO"", ""EN""), """")"),"")</f>
        <v/>
      </c>
      <c r="J725" s="5" t="str">
        <f>IFERROR(__xludf.DUMMYFUNCTION("IF(W725&lt;&gt;"""", GOOGLETRANSLATE(W725, ""RO"", ""EN""), """")"),"")</f>
        <v/>
      </c>
      <c r="K725" s="5" t="str">
        <f>IFERROR(__xludf.DUMMYFUNCTION("IF(X725&lt;&gt;"""", GOOGLETRANSLATE(X725, ""RO"", ""EN""), """")"),"")</f>
        <v/>
      </c>
      <c r="L725" s="5" t="str">
        <f>IFERROR(__xludf.DUMMYFUNCTION("IF(S725&lt;&gt;"""", GOOGLETRANSLATE(S725, ""RO"", ""EN""), """")"),"")</f>
        <v/>
      </c>
      <c r="M725" s="5" t="str">
        <f>IFERROR(__xludf.DUMMYFUNCTION("IF(T725&lt;&gt;"""", GOOGLETRANSLATE(T725, ""RO"", ""EN""), """")"),"")</f>
        <v/>
      </c>
      <c r="N725" s="5" t="str">
        <f>IFERROR(__xludf.DUMMYFUNCTION("IF(Y725&lt;&gt;"""", GOOGLETRANSLATE(Y725, ""RO"", ""EN""), """")"),"")</f>
        <v/>
      </c>
    </row>
    <row r="726" ht="15.75" customHeight="1">
      <c r="A726" s="4" t="s">
        <v>1974</v>
      </c>
      <c r="B726" s="4" t="s">
        <v>1975</v>
      </c>
      <c r="C726" s="4" t="str">
        <f>IFERROR(__xludf.DUMMYFUNCTION("GOOGLETRANSLATE(B726, ""RO"", ""EN"")"),"According to the law, the election campaigns in Romania start 30 days before the elections.")</f>
        <v>According to the law, the election campaigns in Romania start 30 days before the elections.</v>
      </c>
      <c r="D726" s="5" t="str">
        <f>IFERROR(__xludf.DUMMYFUNCTION("IF(O726&lt;&gt;"""", GOOGLETRANSLATE(O726, ""RO"", ""EN""), """")"),"")</f>
        <v/>
      </c>
      <c r="E726" s="6" t="str">
        <f>IFERROR(__xludf.DUMMYFUNCTION("IF(P726&lt;&gt;"""", GOOGLETRANSLATE(P726, ""RO"", ""EN""), """")"),"")</f>
        <v/>
      </c>
      <c r="F726" s="5" t="str">
        <f>IFERROR(__xludf.DUMMYFUNCTION("IF(Q726&lt;&gt;"""", GOOGLETRANSLATE(Q726, ""RO"", ""EN""), """")"),"")</f>
        <v/>
      </c>
      <c r="G726" s="5" t="str">
        <f>IFERROR(__xludf.DUMMYFUNCTION("IF(R726&lt;&gt;"""", GOOGLETRANSLATE(R726, ""RO"", ""EN""), """")"),"")</f>
        <v/>
      </c>
      <c r="H726" s="5" t="str">
        <f>IFERROR(__xludf.DUMMYFUNCTION("IF(U726&lt;&gt;"""", GOOGLETRANSLATE(U726, ""RO"", ""EN""), """")"),"")</f>
        <v/>
      </c>
      <c r="I726" s="5" t="str">
        <f>IFERROR(__xludf.DUMMYFUNCTION("IF(V726&lt;&gt;"""", GOOGLETRANSLATE(V726, ""RO"", ""EN""), """")"),"")</f>
        <v/>
      </c>
      <c r="J726" s="5" t="str">
        <f>IFERROR(__xludf.DUMMYFUNCTION("IF(W726&lt;&gt;"""", GOOGLETRANSLATE(W726, ""RO"", ""EN""), """")"),"")</f>
        <v/>
      </c>
      <c r="K726" s="5" t="str">
        <f>IFERROR(__xludf.DUMMYFUNCTION("IF(X726&lt;&gt;"""", GOOGLETRANSLATE(X726, ""RO"", ""EN""), """")"),"")</f>
        <v/>
      </c>
      <c r="L726" s="5" t="str">
        <f>IFERROR(__xludf.DUMMYFUNCTION("IF(S726&lt;&gt;"""", GOOGLETRANSLATE(S726, ""RO"", ""EN""), """")"),"")</f>
        <v/>
      </c>
      <c r="M726" s="5" t="str">
        <f>IFERROR(__xludf.DUMMYFUNCTION("IF(T726&lt;&gt;"""", GOOGLETRANSLATE(T726, ""RO"", ""EN""), """")"),"")</f>
        <v/>
      </c>
      <c r="N726" s="5" t="str">
        <f>IFERROR(__xludf.DUMMYFUNCTION("IF(Y726&lt;&gt;"""", GOOGLETRANSLATE(Y726, ""RO"", ""EN""), """")"),"")</f>
        <v/>
      </c>
    </row>
    <row r="727" ht="15.75" customHeight="1">
      <c r="A727" s="4" t="s">
        <v>1976</v>
      </c>
      <c r="B727" s="4" t="s">
        <v>1977</v>
      </c>
      <c r="C727" s="4" t="str">
        <f>IFERROR(__xludf.DUMMYFUNCTION("GOOGLETRANSLATE(B727, ""RO"", ""EN"")"),"The states of the European Union have the same number of parliamentarians in the European Parliament.")</f>
        <v>The states of the European Union have the same number of parliamentarians in the European Parliament.</v>
      </c>
      <c r="D727" s="5" t="str">
        <f>IFERROR(__xludf.DUMMYFUNCTION("IF(O727&lt;&gt;"""", GOOGLETRANSLATE(O727, ""RO"", ""EN""), """")"),"")</f>
        <v/>
      </c>
      <c r="E727" s="6" t="str">
        <f>IFERROR(__xludf.DUMMYFUNCTION("IF(P727&lt;&gt;"""", GOOGLETRANSLATE(P727, ""RO"", ""EN""), """")"),"")</f>
        <v/>
      </c>
      <c r="F727" s="5" t="str">
        <f>IFERROR(__xludf.DUMMYFUNCTION("IF(Q727&lt;&gt;"""", GOOGLETRANSLATE(Q727, ""RO"", ""EN""), """")"),"")</f>
        <v/>
      </c>
      <c r="G727" s="5" t="str">
        <f>IFERROR(__xludf.DUMMYFUNCTION("IF(R727&lt;&gt;"""", GOOGLETRANSLATE(R727, ""RO"", ""EN""), """")"),"")</f>
        <v/>
      </c>
      <c r="H727" s="5" t="str">
        <f>IFERROR(__xludf.DUMMYFUNCTION("IF(U727&lt;&gt;"""", GOOGLETRANSLATE(U727, ""RO"", ""EN""), """")"),"")</f>
        <v/>
      </c>
      <c r="I727" s="5" t="str">
        <f>IFERROR(__xludf.DUMMYFUNCTION("IF(V727&lt;&gt;"""", GOOGLETRANSLATE(V727, ""RO"", ""EN""), """")"),"")</f>
        <v/>
      </c>
      <c r="J727" s="5" t="str">
        <f>IFERROR(__xludf.DUMMYFUNCTION("IF(W727&lt;&gt;"""", GOOGLETRANSLATE(W727, ""RO"", ""EN""), """")"),"")</f>
        <v/>
      </c>
      <c r="K727" s="5" t="str">
        <f>IFERROR(__xludf.DUMMYFUNCTION("IF(X727&lt;&gt;"""", GOOGLETRANSLATE(X727, ""RO"", ""EN""), """")"),"")</f>
        <v/>
      </c>
      <c r="L727" s="5" t="str">
        <f>IFERROR(__xludf.DUMMYFUNCTION("IF(S727&lt;&gt;"""", GOOGLETRANSLATE(S727, ""RO"", ""EN""), """")"),"")</f>
        <v/>
      </c>
      <c r="M727" s="5" t="str">
        <f>IFERROR(__xludf.DUMMYFUNCTION("IF(T727&lt;&gt;"""", GOOGLETRANSLATE(T727, ""RO"", ""EN""), """")"),"")</f>
        <v/>
      </c>
      <c r="N727" s="5" t="str">
        <f>IFERROR(__xludf.DUMMYFUNCTION("IF(Y727&lt;&gt;"""", GOOGLETRANSLATE(Y727, ""RO"", ""EN""), """")"),"")</f>
        <v/>
      </c>
    </row>
    <row r="728" ht="15.75" customHeight="1">
      <c r="A728" s="4" t="s">
        <v>1978</v>
      </c>
      <c r="B728" s="4" t="s">
        <v>1979</v>
      </c>
      <c r="C728" s="4" t="str">
        <f>IFERROR(__xludf.DUMMYFUNCTION("GOOGLETRANSLATE(B728, ""RO"", ""EN"")"),"political knowledge (computes)")</f>
        <v>political knowledge (computes)</v>
      </c>
      <c r="D728" s="5" t="str">
        <f>IFERROR(__xludf.DUMMYFUNCTION("IF(O728&lt;&gt;"""", GOOGLETRANSLATE(O728, ""RO"", ""EN""), """")"),"")</f>
        <v/>
      </c>
      <c r="E728" s="6" t="str">
        <f>IFERROR(__xludf.DUMMYFUNCTION("IF(P728&lt;&gt;"""", GOOGLETRANSLATE(P728, ""RO"", ""EN""), """")"),"")</f>
        <v/>
      </c>
      <c r="F728" s="5" t="str">
        <f>IFERROR(__xludf.DUMMYFUNCTION("IF(Q728&lt;&gt;"""", GOOGLETRANSLATE(Q728, ""RO"", ""EN""), """")"),"")</f>
        <v/>
      </c>
      <c r="G728" s="5" t="str">
        <f>IFERROR(__xludf.DUMMYFUNCTION("IF(R728&lt;&gt;"""", GOOGLETRANSLATE(R728, ""RO"", ""EN""), """")"),"")</f>
        <v/>
      </c>
      <c r="H728" s="5" t="str">
        <f>IFERROR(__xludf.DUMMYFUNCTION("IF(U728&lt;&gt;"""", GOOGLETRANSLATE(U728, ""RO"", ""EN""), """")"),"")</f>
        <v/>
      </c>
      <c r="I728" s="5" t="str">
        <f>IFERROR(__xludf.DUMMYFUNCTION("IF(V728&lt;&gt;"""", GOOGLETRANSLATE(V728, ""RO"", ""EN""), """")"),"")</f>
        <v/>
      </c>
      <c r="J728" s="5" t="str">
        <f>IFERROR(__xludf.DUMMYFUNCTION("IF(W728&lt;&gt;"""", GOOGLETRANSLATE(W728, ""RO"", ""EN""), """")"),"")</f>
        <v/>
      </c>
      <c r="K728" s="5" t="str">
        <f>IFERROR(__xludf.DUMMYFUNCTION("IF(X728&lt;&gt;"""", GOOGLETRANSLATE(X728, ""RO"", ""EN""), """")"),"")</f>
        <v/>
      </c>
      <c r="L728" s="5" t="str">
        <f>IFERROR(__xludf.DUMMYFUNCTION("IF(S728&lt;&gt;"""", GOOGLETRANSLATE(S728, ""RO"", ""EN""), """")"),"")</f>
        <v/>
      </c>
      <c r="M728" s="5" t="str">
        <f>IFERROR(__xludf.DUMMYFUNCTION("IF(T728&lt;&gt;"""", GOOGLETRANSLATE(T728, ""RO"", ""EN""), """")"),"")</f>
        <v/>
      </c>
      <c r="N728" s="5" t="str">
        <f>IFERROR(__xludf.DUMMYFUNCTION("IF(Y728&lt;&gt;"""", GOOGLETRANSLATE(Y728, ""RO"", ""EN""), """")"),"")</f>
        <v/>
      </c>
    </row>
    <row r="729" ht="15.75" customHeight="1">
      <c r="A729" s="4" t="s">
        <v>1980</v>
      </c>
      <c r="B729" s="4" t="s">
        <v>1981</v>
      </c>
      <c r="C729" s="4" t="str">
        <f>IFERROR(__xludf.DUMMYFUNCTION("GOOGLETRANSLATE(B729, ""RO"", ""EN"")"),"political knowledge (Count True Answ)")</f>
        <v>political knowledge (Count True Answ)</v>
      </c>
      <c r="D729" s="5" t="str">
        <f>IFERROR(__xludf.DUMMYFUNCTION("IF(O729&lt;&gt;"""", GOOGLETRANSLATE(O729, ""RO"", ""EN""), """")"),"")</f>
        <v/>
      </c>
      <c r="E729" s="6" t="str">
        <f>IFERROR(__xludf.DUMMYFUNCTION("IF(P729&lt;&gt;"""", GOOGLETRANSLATE(P729, ""RO"", ""EN""), """")"),"")</f>
        <v/>
      </c>
      <c r="F729" s="5" t="str">
        <f>IFERROR(__xludf.DUMMYFUNCTION("IF(Q729&lt;&gt;"""", GOOGLETRANSLATE(Q729, ""RO"", ""EN""), """")"),"")</f>
        <v/>
      </c>
      <c r="G729" s="5" t="str">
        <f>IFERROR(__xludf.DUMMYFUNCTION("IF(R729&lt;&gt;"""", GOOGLETRANSLATE(R729, ""RO"", ""EN""), """")"),"")</f>
        <v/>
      </c>
      <c r="H729" s="5" t="str">
        <f>IFERROR(__xludf.DUMMYFUNCTION("IF(U729&lt;&gt;"""", GOOGLETRANSLATE(U729, ""RO"", ""EN""), """")"),"")</f>
        <v/>
      </c>
      <c r="I729" s="5" t="str">
        <f>IFERROR(__xludf.DUMMYFUNCTION("IF(V729&lt;&gt;"""", GOOGLETRANSLATE(V729, ""RO"", ""EN""), """")"),"")</f>
        <v/>
      </c>
      <c r="J729" s="5" t="str">
        <f>IFERROR(__xludf.DUMMYFUNCTION("IF(W729&lt;&gt;"""", GOOGLETRANSLATE(W729, ""RO"", ""EN""), """")"),"")</f>
        <v/>
      </c>
      <c r="K729" s="5" t="str">
        <f>IFERROR(__xludf.DUMMYFUNCTION("IF(X729&lt;&gt;"""", GOOGLETRANSLATE(X729, ""RO"", ""EN""), """")"),"")</f>
        <v/>
      </c>
      <c r="L729" s="5" t="str">
        <f>IFERROR(__xludf.DUMMYFUNCTION("IF(S729&lt;&gt;"""", GOOGLETRANSLATE(S729, ""RO"", ""EN""), """")"),"")</f>
        <v/>
      </c>
      <c r="M729" s="5" t="str">
        <f>IFERROR(__xludf.DUMMYFUNCTION("IF(T729&lt;&gt;"""", GOOGLETRANSLATE(T729, ""RO"", ""EN""), """")"),"")</f>
        <v/>
      </c>
      <c r="N729" s="5" t="str">
        <f>IFERROR(__xludf.DUMMYFUNCTION("IF(Y729&lt;&gt;"""", GOOGLETRANSLATE(Y729, ""RO"", ""EN""), """")"),"")</f>
        <v/>
      </c>
    </row>
    <row r="730" ht="15.75" customHeight="1">
      <c r="A730" s="4" t="s">
        <v>1982</v>
      </c>
      <c r="B730" s="4" t="s">
        <v>1983</v>
      </c>
      <c r="C730" s="4" t="str">
        <f>IFERROR(__xludf.DUMMYFUNCTION("GOOGLETRANSLATE(B730, ""RO"", ""EN"")"),"Interest for Politics (County Interest +)")</f>
        <v>Interest for Politics (County Interest +)</v>
      </c>
      <c r="D730" s="5" t="str">
        <f>IFERROR(__xludf.DUMMYFUNCTION("IF(O730&lt;&gt;"""", GOOGLETRANSLATE(O730, ""RO"", ""EN""), """")"),"")</f>
        <v/>
      </c>
      <c r="E730" s="6" t="str">
        <f>IFERROR(__xludf.DUMMYFUNCTION("IF(P730&lt;&gt;"""", GOOGLETRANSLATE(P730, ""RO"", ""EN""), """")"),"")</f>
        <v/>
      </c>
      <c r="F730" s="5" t="str">
        <f>IFERROR(__xludf.DUMMYFUNCTION("IF(Q730&lt;&gt;"""", GOOGLETRANSLATE(Q730, ""RO"", ""EN""), """")"),"")</f>
        <v/>
      </c>
      <c r="G730" s="5" t="str">
        <f>IFERROR(__xludf.DUMMYFUNCTION("IF(R730&lt;&gt;"""", GOOGLETRANSLATE(R730, ""RO"", ""EN""), """")"),"")</f>
        <v/>
      </c>
      <c r="H730" s="5" t="str">
        <f>IFERROR(__xludf.DUMMYFUNCTION("IF(U730&lt;&gt;"""", GOOGLETRANSLATE(U730, ""RO"", ""EN""), """")"),"")</f>
        <v/>
      </c>
      <c r="I730" s="5" t="str">
        <f>IFERROR(__xludf.DUMMYFUNCTION("IF(V730&lt;&gt;"""", GOOGLETRANSLATE(V730, ""RO"", ""EN""), """")"),"")</f>
        <v/>
      </c>
      <c r="J730" s="5" t="str">
        <f>IFERROR(__xludf.DUMMYFUNCTION("IF(W730&lt;&gt;"""", GOOGLETRANSLATE(W730, ""RO"", ""EN""), """")"),"")</f>
        <v/>
      </c>
      <c r="K730" s="5" t="str">
        <f>IFERROR(__xludf.DUMMYFUNCTION("IF(X730&lt;&gt;"""", GOOGLETRANSLATE(X730, ""RO"", ""EN""), """")"),"")</f>
        <v/>
      </c>
      <c r="L730" s="5" t="str">
        <f>IFERROR(__xludf.DUMMYFUNCTION("IF(S730&lt;&gt;"""", GOOGLETRANSLATE(S730, ""RO"", ""EN""), """")"),"")</f>
        <v/>
      </c>
      <c r="M730" s="5" t="str">
        <f>IFERROR(__xludf.DUMMYFUNCTION("IF(T730&lt;&gt;"""", GOOGLETRANSLATE(T730, ""RO"", ""EN""), """")"),"")</f>
        <v/>
      </c>
      <c r="N730" s="5" t="str">
        <f>IFERROR(__xludf.DUMMYFUNCTION("IF(Y730&lt;&gt;"""", GOOGLETRANSLATE(Y730, ""RO"", ""EN""), """")"),"")</f>
        <v/>
      </c>
    </row>
    <row r="731" ht="15.75" customHeight="1">
      <c r="A731" s="4" t="s">
        <v>1984</v>
      </c>
      <c r="B731" s="4" t="s">
        <v>1983</v>
      </c>
      <c r="C731" s="4" t="str">
        <f>IFERROR(__xludf.DUMMYFUNCTION("GOOGLETRANSLATE(B731, ""RO"", ""EN"")"),"Interest for Politics (County Interest +)")</f>
        <v>Interest for Politics (County Interest +)</v>
      </c>
      <c r="D731" s="5" t="str">
        <f>IFERROR(__xludf.DUMMYFUNCTION("IF(O731&lt;&gt;"""", GOOGLETRANSLATE(O731, ""RO"", ""EN""), """")"),"")</f>
        <v/>
      </c>
      <c r="E731" s="6" t="str">
        <f>IFERROR(__xludf.DUMMYFUNCTION("IF(P731&lt;&gt;"""", GOOGLETRANSLATE(P731, ""RO"", ""EN""), """")"),"low")</f>
        <v>low</v>
      </c>
      <c r="F731" s="5" t="str">
        <f>IFERROR(__xludf.DUMMYFUNCTION("IF(Q731&lt;&gt;"""", GOOGLETRANSLATE(Q731, ""RO"", ""EN""), """")"),"environment")</f>
        <v>environment</v>
      </c>
      <c r="G731" s="5" t="str">
        <f>IFERROR(__xludf.DUMMYFUNCTION("IF(R731&lt;&gt;"""", GOOGLETRANSLATE(R731, ""RO"", ""EN""), """")"),"picked up")</f>
        <v>picked up</v>
      </c>
      <c r="H731" s="5" t="str">
        <f>IFERROR(__xludf.DUMMYFUNCTION("IF(U731&lt;&gt;"""", GOOGLETRANSLATE(U731, ""RO"", ""EN""), """")"),"")</f>
        <v/>
      </c>
      <c r="I731" s="5" t="str">
        <f>IFERROR(__xludf.DUMMYFUNCTION("IF(V731&lt;&gt;"""", GOOGLETRANSLATE(V731, ""RO"", ""EN""), """")"),"")</f>
        <v/>
      </c>
      <c r="J731" s="5" t="str">
        <f>IFERROR(__xludf.DUMMYFUNCTION("IF(W731&lt;&gt;"""", GOOGLETRANSLATE(W731, ""RO"", ""EN""), """")"),"")</f>
        <v/>
      </c>
      <c r="K731" s="5" t="str">
        <f>IFERROR(__xludf.DUMMYFUNCTION("IF(X731&lt;&gt;"""", GOOGLETRANSLATE(X731, ""RO"", ""EN""), """")"),"")</f>
        <v/>
      </c>
      <c r="L731" s="5" t="str">
        <f>IFERROR(__xludf.DUMMYFUNCTION("IF(S731&lt;&gt;"""", GOOGLETRANSLATE(S731, ""RO"", ""EN""), """")"),"")</f>
        <v/>
      </c>
      <c r="M731" s="5" t="str">
        <f>IFERROR(__xludf.DUMMYFUNCTION("IF(T731&lt;&gt;"""", GOOGLETRANSLATE(T731, ""RO"", ""EN""), """")"),"")</f>
        <v/>
      </c>
      <c r="N731" s="5" t="str">
        <f>IFERROR(__xludf.DUMMYFUNCTION("IF(Y731&lt;&gt;"""", GOOGLETRANSLATE(Y731, ""RO"", ""EN""), """")"),"")</f>
        <v/>
      </c>
      <c r="P731" s="4" t="s">
        <v>1985</v>
      </c>
      <c r="Q731" s="4" t="s">
        <v>1986</v>
      </c>
      <c r="R731" s="4" t="s">
        <v>1987</v>
      </c>
    </row>
    <row r="732" ht="15.75" customHeight="1">
      <c r="A732" s="4" t="s">
        <v>1988</v>
      </c>
      <c r="B732" s="4" t="s">
        <v>1989</v>
      </c>
      <c r="C732" s="4" t="str">
        <f>IFERROR(__xludf.DUMMYFUNCTION("GOOGLETRANSLATE(B732, ""RO"", ""EN"")"),"Information about choices (Count E2)")</f>
        <v>Information about choices (Count E2)</v>
      </c>
      <c r="D732" s="5" t="str">
        <f>IFERROR(__xludf.DUMMYFUNCTION("IF(O732&lt;&gt;"""", GOOGLETRANSLATE(O732, ""RO"", ""EN""), """")"),"")</f>
        <v/>
      </c>
      <c r="E732" s="6" t="str">
        <f>IFERROR(__xludf.DUMMYFUNCTION("IF(P732&lt;&gt;"""", GOOGLETRANSLATE(P732, ""RO"", ""EN""), """")"),"")</f>
        <v/>
      </c>
      <c r="F732" s="5" t="str">
        <f>IFERROR(__xludf.DUMMYFUNCTION("IF(Q732&lt;&gt;"""", GOOGLETRANSLATE(Q732, ""RO"", ""EN""), """")"),"")</f>
        <v/>
      </c>
      <c r="G732" s="5" t="str">
        <f>IFERROR(__xludf.DUMMYFUNCTION("IF(R732&lt;&gt;"""", GOOGLETRANSLATE(R732, ""RO"", ""EN""), """")"),"")</f>
        <v/>
      </c>
      <c r="H732" s="5" t="str">
        <f>IFERROR(__xludf.DUMMYFUNCTION("IF(U732&lt;&gt;"""", GOOGLETRANSLATE(U732, ""RO"", ""EN""), """")"),"")</f>
        <v/>
      </c>
      <c r="I732" s="5" t="str">
        <f>IFERROR(__xludf.DUMMYFUNCTION("IF(V732&lt;&gt;"""", GOOGLETRANSLATE(V732, ""RO"", ""EN""), """")"),"")</f>
        <v/>
      </c>
      <c r="J732" s="5" t="str">
        <f>IFERROR(__xludf.DUMMYFUNCTION("IF(W732&lt;&gt;"""", GOOGLETRANSLATE(W732, ""RO"", ""EN""), """")"),"")</f>
        <v/>
      </c>
      <c r="K732" s="5" t="str">
        <f>IFERROR(__xludf.DUMMYFUNCTION("IF(X732&lt;&gt;"""", GOOGLETRANSLATE(X732, ""RO"", ""EN""), """")"),"")</f>
        <v/>
      </c>
      <c r="L732" s="5" t="str">
        <f>IFERROR(__xludf.DUMMYFUNCTION("IF(S732&lt;&gt;"""", GOOGLETRANSLATE(S732, ""RO"", ""EN""), """")"),"")</f>
        <v/>
      </c>
      <c r="M732" s="5" t="str">
        <f>IFERROR(__xludf.DUMMYFUNCTION("IF(T732&lt;&gt;"""", GOOGLETRANSLATE(T732, ""RO"", ""EN""), """")"),"")</f>
        <v/>
      </c>
      <c r="N732" s="5" t="str">
        <f>IFERROR(__xludf.DUMMYFUNCTION("IF(Y732&lt;&gt;"""", GOOGLETRANSLATE(Y732, ""RO"", ""EN""), """")"),"")</f>
        <v/>
      </c>
    </row>
    <row r="733" ht="15.75" customHeight="1">
      <c r="A733" s="4" t="s">
        <v>1990</v>
      </c>
      <c r="B733" s="4" t="s">
        <v>1989</v>
      </c>
      <c r="C733" s="4" t="str">
        <f>IFERROR(__xludf.DUMMYFUNCTION("GOOGLETRANSLATE(B733, ""RO"", ""EN"")"),"Information about choices (Count E2)")</f>
        <v>Information about choices (Count E2)</v>
      </c>
      <c r="D733" s="5" t="str">
        <f>IFERROR(__xludf.DUMMYFUNCTION("IF(O733&lt;&gt;"""", GOOGLETRANSLATE(O733, ""RO"", ""EN""), """")"),"")</f>
        <v/>
      </c>
      <c r="E733" s="6" t="str">
        <f>IFERROR(__xludf.DUMMYFUNCTION("IF(P733&lt;&gt;"""", GOOGLETRANSLATE(P733, ""RO"", ""EN""), """")"),"low")</f>
        <v>low</v>
      </c>
      <c r="F733" s="5" t="str">
        <f>IFERROR(__xludf.DUMMYFUNCTION("IF(Q733&lt;&gt;"""", GOOGLETRANSLATE(Q733, ""RO"", ""EN""), """")"),"average")</f>
        <v>average</v>
      </c>
      <c r="G733" s="5" t="str">
        <f>IFERROR(__xludf.DUMMYFUNCTION("IF(R733&lt;&gt;"""", GOOGLETRANSLATE(R733, ""RO"", ""EN""), """")"),"WHOLESALE")</f>
        <v>WHOLESALE</v>
      </c>
      <c r="H733" s="5" t="str">
        <f>IFERROR(__xludf.DUMMYFUNCTION("IF(U733&lt;&gt;"""", GOOGLETRANSLATE(U733, ""RO"", ""EN""), """")"),"")</f>
        <v/>
      </c>
      <c r="I733" s="5" t="str">
        <f>IFERROR(__xludf.DUMMYFUNCTION("IF(V733&lt;&gt;"""", GOOGLETRANSLATE(V733, ""RO"", ""EN""), """")"),"")</f>
        <v/>
      </c>
      <c r="J733" s="5" t="str">
        <f>IFERROR(__xludf.DUMMYFUNCTION("IF(W733&lt;&gt;"""", GOOGLETRANSLATE(W733, ""RO"", ""EN""), """")"),"")</f>
        <v/>
      </c>
      <c r="K733" s="5" t="str">
        <f>IFERROR(__xludf.DUMMYFUNCTION("IF(X733&lt;&gt;"""", GOOGLETRANSLATE(X733, ""RO"", ""EN""), """")"),"")</f>
        <v/>
      </c>
      <c r="L733" s="5" t="str">
        <f>IFERROR(__xludf.DUMMYFUNCTION("IF(S733&lt;&gt;"""", GOOGLETRANSLATE(S733, ""RO"", ""EN""), """")"),"")</f>
        <v/>
      </c>
      <c r="M733" s="5" t="str">
        <f>IFERROR(__xludf.DUMMYFUNCTION("IF(T733&lt;&gt;"""", GOOGLETRANSLATE(T733, ""RO"", ""EN""), """")"),"")</f>
        <v/>
      </c>
      <c r="N733" s="5" t="str">
        <f>IFERROR(__xludf.DUMMYFUNCTION("IF(Y733&lt;&gt;"""", GOOGLETRANSLATE(Y733, ""RO"", ""EN""), """")"),"")</f>
        <v/>
      </c>
      <c r="P733" s="4" t="s">
        <v>1991</v>
      </c>
      <c r="Q733" s="4" t="s">
        <v>496</v>
      </c>
      <c r="R733" s="4" t="s">
        <v>1992</v>
      </c>
    </row>
    <row r="734" ht="15.75" customHeight="1">
      <c r="A734" s="4" t="s">
        <v>1993</v>
      </c>
      <c r="B734" s="4" t="s">
        <v>1994</v>
      </c>
      <c r="C734" s="4" t="str">
        <f>IFERROR(__xludf.DUMMYFUNCTION("GOOGLETRANSLATE(B734, ""RO"", ""EN"")"),"FREE CANDIDER FREE SUPPORT")</f>
        <v>FREE CANDIDER FREE SUPPORT</v>
      </c>
      <c r="D734" s="5" t="str">
        <f>IFERROR(__xludf.DUMMYFUNCTION("IF(O734&lt;&gt;"""", GOOGLETRANSLATE(O734, ""RO"", ""EN""), """")"),"")</f>
        <v/>
      </c>
      <c r="E734" s="6" t="str">
        <f>IFERROR(__xludf.DUMMYFUNCTION("IF(P734&lt;&gt;"""", GOOGLETRANSLATE(P734, ""RO"", ""EN""), """")"),"")</f>
        <v/>
      </c>
      <c r="F734" s="5" t="str">
        <f>IFERROR(__xludf.DUMMYFUNCTION("IF(Q734&lt;&gt;"""", GOOGLETRANSLATE(Q734, ""RO"", ""EN""), """")"),"")</f>
        <v/>
      </c>
      <c r="G734" s="5" t="str">
        <f>IFERROR(__xludf.DUMMYFUNCTION("IF(R734&lt;&gt;"""", GOOGLETRANSLATE(R734, ""RO"", ""EN""), """")"),"")</f>
        <v/>
      </c>
      <c r="H734" s="5" t="str">
        <f>IFERROR(__xludf.DUMMYFUNCTION("IF(U734&lt;&gt;"""", GOOGLETRANSLATE(U734, ""RO"", ""EN""), """")"),"")</f>
        <v/>
      </c>
      <c r="I734" s="5" t="str">
        <f>IFERROR(__xludf.DUMMYFUNCTION("IF(V734&lt;&gt;"""", GOOGLETRANSLATE(V734, ""RO"", ""EN""), """")"),"")</f>
        <v/>
      </c>
      <c r="J734" s="5" t="str">
        <f>IFERROR(__xludf.DUMMYFUNCTION("IF(W734&lt;&gt;"""", GOOGLETRANSLATE(W734, ""RO"", ""EN""), """")"),"")</f>
        <v/>
      </c>
      <c r="K734" s="5" t="str">
        <f>IFERROR(__xludf.DUMMYFUNCTION("IF(X734&lt;&gt;"""", GOOGLETRANSLATE(X734, ""RO"", ""EN""), """")"),"")</f>
        <v/>
      </c>
      <c r="L734" s="5" t="str">
        <f>IFERROR(__xludf.DUMMYFUNCTION("IF(S734&lt;&gt;"""", GOOGLETRANSLATE(S734, ""RO"", ""EN""), """")"),"")</f>
        <v/>
      </c>
      <c r="M734" s="5" t="str">
        <f>IFERROR(__xludf.DUMMYFUNCTION("IF(T734&lt;&gt;"""", GOOGLETRANSLATE(T734, ""RO"", ""EN""), """")"),"")</f>
        <v/>
      </c>
      <c r="N734" s="5" t="str">
        <f>IFERROR(__xludf.DUMMYFUNCTION("IF(Y734&lt;&gt;"""", GOOGLETRANSLATE(Y734, ""RO"", ""EN""), """")"),"")</f>
        <v/>
      </c>
    </row>
    <row r="735" ht="15.75" customHeight="1">
      <c r="A735" s="4" t="s">
        <v>1995</v>
      </c>
      <c r="B735" s="4" t="s">
        <v>1996</v>
      </c>
      <c r="C735" s="4" t="str">
        <f>IFERROR(__xludf.DUMMYFUNCTION("GOOGLETRANSLATE(B735, ""RO"", ""EN"")"),"contacted in campaign - channels")</f>
        <v>contacted in campaign - channels</v>
      </c>
      <c r="D735" s="5" t="str">
        <f>IFERROR(__xludf.DUMMYFUNCTION("IF(O735&lt;&gt;"""", GOOGLETRANSLATE(O735, ""RO"", ""EN""), """")"),"")</f>
        <v/>
      </c>
      <c r="E735" s="6" t="str">
        <f>IFERROR(__xludf.DUMMYFUNCTION("IF(P735&lt;&gt;"""", GOOGLETRANSLATE(P735, ""RO"", ""EN""), """")"),"")</f>
        <v/>
      </c>
      <c r="F735" s="5" t="str">
        <f>IFERROR(__xludf.DUMMYFUNCTION("IF(Q735&lt;&gt;"""", GOOGLETRANSLATE(Q735, ""RO"", ""EN""), """")"),"")</f>
        <v/>
      </c>
      <c r="G735" s="5" t="str">
        <f>IFERROR(__xludf.DUMMYFUNCTION("IF(R735&lt;&gt;"""", GOOGLETRANSLATE(R735, ""RO"", ""EN""), """")"),"")</f>
        <v/>
      </c>
      <c r="H735" s="5" t="str">
        <f>IFERROR(__xludf.DUMMYFUNCTION("IF(U735&lt;&gt;"""", GOOGLETRANSLATE(U735, ""RO"", ""EN""), """")"),"")</f>
        <v/>
      </c>
      <c r="I735" s="5" t="str">
        <f>IFERROR(__xludf.DUMMYFUNCTION("IF(V735&lt;&gt;"""", GOOGLETRANSLATE(V735, ""RO"", ""EN""), """")"),"")</f>
        <v/>
      </c>
      <c r="J735" s="5" t="str">
        <f>IFERROR(__xludf.DUMMYFUNCTION("IF(W735&lt;&gt;"""", GOOGLETRANSLATE(W735, ""RO"", ""EN""), """")"),"")</f>
        <v/>
      </c>
      <c r="K735" s="5" t="str">
        <f>IFERROR(__xludf.DUMMYFUNCTION("IF(X735&lt;&gt;"""", GOOGLETRANSLATE(X735, ""RO"", ""EN""), """")"),"")</f>
        <v/>
      </c>
      <c r="L735" s="5" t="str">
        <f>IFERROR(__xludf.DUMMYFUNCTION("IF(S735&lt;&gt;"""", GOOGLETRANSLATE(S735, ""RO"", ""EN""), """")"),"")</f>
        <v/>
      </c>
      <c r="M735" s="5" t="str">
        <f>IFERROR(__xludf.DUMMYFUNCTION("IF(T735&lt;&gt;"""", GOOGLETRANSLATE(T735, ""RO"", ""EN""), """")"),"")</f>
        <v/>
      </c>
      <c r="N735" s="5" t="str">
        <f>IFERROR(__xludf.DUMMYFUNCTION("IF(Y735&lt;&gt;"""", GOOGLETRANSLATE(Y735, ""RO"", ""EN""), """")"),"")</f>
        <v/>
      </c>
    </row>
    <row r="736" ht="15.75" customHeight="1">
      <c r="A736" s="4" t="s">
        <v>1997</v>
      </c>
      <c r="B736" s="4" t="s">
        <v>1998</v>
      </c>
      <c r="C736" s="4" t="str">
        <f>IFERROR(__xludf.DUMMYFUNCTION("GOOGLETRANSLATE(B736, ""RO"", ""EN"")"),"contacted in campaign - party/when/cropol")</f>
        <v>contacted in campaign - party/when/cropol</v>
      </c>
      <c r="D736" s="5" t="str">
        <f>IFERROR(__xludf.DUMMYFUNCTION("IF(O736&lt;&gt;"""", GOOGLETRANSLATE(O736, ""RO"", ""EN""), """")"),"")</f>
        <v/>
      </c>
      <c r="E736" s="6" t="str">
        <f>IFERROR(__xludf.DUMMYFUNCTION("IF(P736&lt;&gt;"""", GOOGLETRANSLATE(P736, ""RO"", ""EN""), """")"),"")</f>
        <v/>
      </c>
      <c r="F736" s="5" t="str">
        <f>IFERROR(__xludf.DUMMYFUNCTION("IF(Q736&lt;&gt;"""", GOOGLETRANSLATE(Q736, ""RO"", ""EN""), """")"),"")</f>
        <v/>
      </c>
      <c r="G736" s="5" t="str">
        <f>IFERROR(__xludf.DUMMYFUNCTION("IF(R736&lt;&gt;"""", GOOGLETRANSLATE(R736, ""RO"", ""EN""), """")"),"")</f>
        <v/>
      </c>
      <c r="H736" s="5" t="str">
        <f>IFERROR(__xludf.DUMMYFUNCTION("IF(U736&lt;&gt;"""", GOOGLETRANSLATE(U736, ""RO"", ""EN""), """")"),"")</f>
        <v/>
      </c>
      <c r="I736" s="5" t="str">
        <f>IFERROR(__xludf.DUMMYFUNCTION("IF(V736&lt;&gt;"""", GOOGLETRANSLATE(V736, ""RO"", ""EN""), """")"),"")</f>
        <v/>
      </c>
      <c r="J736" s="5" t="str">
        <f>IFERROR(__xludf.DUMMYFUNCTION("IF(W736&lt;&gt;"""", GOOGLETRANSLATE(W736, ""RO"", ""EN""), """")"),"")</f>
        <v/>
      </c>
      <c r="K736" s="5" t="str">
        <f>IFERROR(__xludf.DUMMYFUNCTION("IF(X736&lt;&gt;"""", GOOGLETRANSLATE(X736, ""RO"", ""EN""), """")"),"")</f>
        <v/>
      </c>
      <c r="L736" s="5" t="str">
        <f>IFERROR(__xludf.DUMMYFUNCTION("IF(S736&lt;&gt;"""", GOOGLETRANSLATE(S736, ""RO"", ""EN""), """")"),"")</f>
        <v/>
      </c>
      <c r="M736" s="5" t="str">
        <f>IFERROR(__xludf.DUMMYFUNCTION("IF(T736&lt;&gt;"""", GOOGLETRANSLATE(T736, ""RO"", ""EN""), """")"),"")</f>
        <v/>
      </c>
      <c r="N736" s="5" t="str">
        <f>IFERROR(__xludf.DUMMYFUNCTION("IF(Y736&lt;&gt;"""", GOOGLETRANSLATE(Y736, ""RO"", ""EN""), """")"),"")</f>
        <v/>
      </c>
    </row>
    <row r="737" ht="15.75" customHeight="1">
      <c r="A737" s="4" t="s">
        <v>1999</v>
      </c>
      <c r="B737" s="4" t="s">
        <v>2000</v>
      </c>
      <c r="C737" s="4" t="str">
        <f>IFERROR(__xludf.DUMMYFUNCTION("GOOGLETRANSLATE(B737, ""RO"", ""EN"")"),"contacted in campaign - family / friends")</f>
        <v>contacted in campaign - family / friends</v>
      </c>
      <c r="D737" s="5" t="str">
        <f>IFERROR(__xludf.DUMMYFUNCTION("IF(O737&lt;&gt;"""", GOOGLETRANSLATE(O737, ""RO"", ""EN""), """")"),"")</f>
        <v/>
      </c>
      <c r="E737" s="6" t="str">
        <f>IFERROR(__xludf.DUMMYFUNCTION("IF(P737&lt;&gt;"""", GOOGLETRANSLATE(P737, ""RO"", ""EN""), """")"),"")</f>
        <v/>
      </c>
      <c r="F737" s="5" t="str">
        <f>IFERROR(__xludf.DUMMYFUNCTION("IF(Q737&lt;&gt;"""", GOOGLETRANSLATE(Q737, ""RO"", ""EN""), """")"),"")</f>
        <v/>
      </c>
      <c r="G737" s="5" t="str">
        <f>IFERROR(__xludf.DUMMYFUNCTION("IF(R737&lt;&gt;"""", GOOGLETRANSLATE(R737, ""RO"", ""EN""), """")"),"")</f>
        <v/>
      </c>
      <c r="H737" s="5" t="str">
        <f>IFERROR(__xludf.DUMMYFUNCTION("IF(U737&lt;&gt;"""", GOOGLETRANSLATE(U737, ""RO"", ""EN""), """")"),"")</f>
        <v/>
      </c>
      <c r="I737" s="5" t="str">
        <f>IFERROR(__xludf.DUMMYFUNCTION("IF(V737&lt;&gt;"""", GOOGLETRANSLATE(V737, ""RO"", ""EN""), """")"),"")</f>
        <v/>
      </c>
      <c r="J737" s="5" t="str">
        <f>IFERROR(__xludf.DUMMYFUNCTION("IF(W737&lt;&gt;"""", GOOGLETRANSLATE(W737, ""RO"", ""EN""), """")"),"")</f>
        <v/>
      </c>
      <c r="K737" s="5" t="str">
        <f>IFERROR(__xludf.DUMMYFUNCTION("IF(X737&lt;&gt;"""", GOOGLETRANSLATE(X737, ""RO"", ""EN""), """")"),"")</f>
        <v/>
      </c>
      <c r="L737" s="5" t="str">
        <f>IFERROR(__xludf.DUMMYFUNCTION("IF(S737&lt;&gt;"""", GOOGLETRANSLATE(S737, ""RO"", ""EN""), """")"),"")</f>
        <v/>
      </c>
      <c r="M737" s="5" t="str">
        <f>IFERROR(__xludf.DUMMYFUNCTION("IF(T737&lt;&gt;"""", GOOGLETRANSLATE(T737, ""RO"", ""EN""), """")"),"")</f>
        <v/>
      </c>
      <c r="N737" s="5" t="str">
        <f>IFERROR(__xludf.DUMMYFUNCTION("IF(Y737&lt;&gt;"""", GOOGLETRANSLATE(Y737, ""RO"", ""EN""), """")"),"")</f>
        <v/>
      </c>
    </row>
    <row r="738" ht="15.75" customHeight="1">
      <c r="A738" s="4" t="s">
        <v>2001</v>
      </c>
      <c r="B738" s="4" t="s">
        <v>2002</v>
      </c>
      <c r="C738" s="4" t="str">
        <f>IFERROR(__xludf.DUMMYFUNCTION("GOOGLETRANSLATE(B738, ""RO"", ""EN"")"),"contacted in campaign - local leaders")</f>
        <v>contacted in campaign - local leaders</v>
      </c>
      <c r="D738" s="5" t="str">
        <f>IFERROR(__xludf.DUMMYFUNCTION("IF(O738&lt;&gt;"""", GOOGLETRANSLATE(O738, ""RO"", ""EN""), """")"),"")</f>
        <v/>
      </c>
      <c r="E738" s="6" t="str">
        <f>IFERROR(__xludf.DUMMYFUNCTION("IF(P738&lt;&gt;"""", GOOGLETRANSLATE(P738, ""RO"", ""EN""), """")"),"")</f>
        <v/>
      </c>
      <c r="F738" s="5" t="str">
        <f>IFERROR(__xludf.DUMMYFUNCTION("IF(Q738&lt;&gt;"""", GOOGLETRANSLATE(Q738, ""RO"", ""EN""), """")"),"")</f>
        <v/>
      </c>
      <c r="G738" s="5" t="str">
        <f>IFERROR(__xludf.DUMMYFUNCTION("IF(R738&lt;&gt;"""", GOOGLETRANSLATE(R738, ""RO"", ""EN""), """")"),"")</f>
        <v/>
      </c>
      <c r="H738" s="5" t="str">
        <f>IFERROR(__xludf.DUMMYFUNCTION("IF(U738&lt;&gt;"""", GOOGLETRANSLATE(U738, ""RO"", ""EN""), """")"),"")</f>
        <v/>
      </c>
      <c r="I738" s="5" t="str">
        <f>IFERROR(__xludf.DUMMYFUNCTION("IF(V738&lt;&gt;"""", GOOGLETRANSLATE(V738, ""RO"", ""EN""), """")"),"")</f>
        <v/>
      </c>
      <c r="J738" s="5" t="str">
        <f>IFERROR(__xludf.DUMMYFUNCTION("IF(W738&lt;&gt;"""", GOOGLETRANSLATE(W738, ""RO"", ""EN""), """")"),"")</f>
        <v/>
      </c>
      <c r="K738" s="5" t="str">
        <f>IFERROR(__xludf.DUMMYFUNCTION("IF(X738&lt;&gt;"""", GOOGLETRANSLATE(X738, ""RO"", ""EN""), """")"),"")</f>
        <v/>
      </c>
      <c r="L738" s="5" t="str">
        <f>IFERROR(__xludf.DUMMYFUNCTION("IF(S738&lt;&gt;"""", GOOGLETRANSLATE(S738, ""RO"", ""EN""), """")"),"")</f>
        <v/>
      </c>
      <c r="M738" s="5" t="str">
        <f>IFERROR(__xludf.DUMMYFUNCTION("IF(T738&lt;&gt;"""", GOOGLETRANSLATE(T738, ""RO"", ""EN""), """")"),"")</f>
        <v/>
      </c>
      <c r="N738" s="5" t="str">
        <f>IFERROR(__xludf.DUMMYFUNCTION("IF(Y738&lt;&gt;"""", GOOGLETRANSLATE(Y738, ""RO"", ""EN""), """")"),"")</f>
        <v/>
      </c>
    </row>
    <row r="739" ht="15.75" customHeight="1">
      <c r="A739" s="4" t="s">
        <v>2003</v>
      </c>
      <c r="B739" s="4" t="s">
        <v>2004</v>
      </c>
      <c r="C739" s="4" t="str">
        <f>IFERROR(__xludf.DUMMYFUNCTION("GOOGLETRANSLATE(B739, ""RO"", ""EN"")"),"Contacted in campaign - Vote participation")</f>
        <v>Contacted in campaign - Vote participation</v>
      </c>
      <c r="D739" s="5" t="str">
        <f>IFERROR(__xludf.DUMMYFUNCTION("IF(O739&lt;&gt;"""", GOOGLETRANSLATE(O739, ""RO"", ""EN""), """")"),"")</f>
        <v/>
      </c>
      <c r="E739" s="6" t="str">
        <f>IFERROR(__xludf.DUMMYFUNCTION("IF(P739&lt;&gt;"""", GOOGLETRANSLATE(P739, ""RO"", ""EN""), """")"),"")</f>
        <v/>
      </c>
      <c r="F739" s="5" t="str">
        <f>IFERROR(__xludf.DUMMYFUNCTION("IF(Q739&lt;&gt;"""", GOOGLETRANSLATE(Q739, ""RO"", ""EN""), """")"),"")</f>
        <v/>
      </c>
      <c r="G739" s="5" t="str">
        <f>IFERROR(__xludf.DUMMYFUNCTION("IF(R739&lt;&gt;"""", GOOGLETRANSLATE(R739, ""RO"", ""EN""), """")"),"")</f>
        <v/>
      </c>
      <c r="H739" s="5" t="str">
        <f>IFERROR(__xludf.DUMMYFUNCTION("IF(U739&lt;&gt;"""", GOOGLETRANSLATE(U739, ""RO"", ""EN""), """")"),"")</f>
        <v/>
      </c>
      <c r="I739" s="5" t="str">
        <f>IFERROR(__xludf.DUMMYFUNCTION("IF(V739&lt;&gt;"""", GOOGLETRANSLATE(V739, ""RO"", ""EN""), """")"),"")</f>
        <v/>
      </c>
      <c r="J739" s="5" t="str">
        <f>IFERROR(__xludf.DUMMYFUNCTION("IF(W739&lt;&gt;"""", GOOGLETRANSLATE(W739, ""RO"", ""EN""), """")"),"")</f>
        <v/>
      </c>
      <c r="K739" s="5" t="str">
        <f>IFERROR(__xludf.DUMMYFUNCTION("IF(X739&lt;&gt;"""", GOOGLETRANSLATE(X739, ""RO"", ""EN""), """")"),"")</f>
        <v/>
      </c>
      <c r="L739" s="5" t="str">
        <f>IFERROR(__xludf.DUMMYFUNCTION("IF(S739&lt;&gt;"""", GOOGLETRANSLATE(S739, ""RO"", ""EN""), """")"),"")</f>
        <v/>
      </c>
      <c r="M739" s="5" t="str">
        <f>IFERROR(__xludf.DUMMYFUNCTION("IF(T739&lt;&gt;"""", GOOGLETRANSLATE(T739, ""RO"", ""EN""), """")"),"")</f>
        <v/>
      </c>
      <c r="N739" s="5" t="str">
        <f>IFERROR(__xludf.DUMMYFUNCTION("IF(Y739&lt;&gt;"""", GOOGLETRANSLATE(Y739, ""RO"", ""EN""), """")"),"")</f>
        <v/>
      </c>
    </row>
    <row r="740" ht="15.75" customHeight="1">
      <c r="A740" s="4" t="s">
        <v>2005</v>
      </c>
      <c r="B740" s="4" t="s">
        <v>2006</v>
      </c>
      <c r="C740" s="4" t="str">
        <f>IFERROR(__xludf.DUMMYFUNCTION("GOOGLETRANSLATE(B740, ""RO"", ""EN"")"),"Contacted in campaign - part rally")</f>
        <v>Contacted in campaign - part rally</v>
      </c>
      <c r="D740" s="5" t="str">
        <f>IFERROR(__xludf.DUMMYFUNCTION("IF(O740&lt;&gt;"""", GOOGLETRANSLATE(O740, ""RO"", ""EN""), """")"),"")</f>
        <v/>
      </c>
      <c r="E740" s="6" t="str">
        <f>IFERROR(__xludf.DUMMYFUNCTION("IF(P740&lt;&gt;"""", GOOGLETRANSLATE(P740, ""RO"", ""EN""), """")"),"")</f>
        <v/>
      </c>
      <c r="F740" s="5" t="str">
        <f>IFERROR(__xludf.DUMMYFUNCTION("IF(Q740&lt;&gt;"""", GOOGLETRANSLATE(Q740, ""RO"", ""EN""), """")"),"")</f>
        <v/>
      </c>
      <c r="G740" s="5" t="str">
        <f>IFERROR(__xludf.DUMMYFUNCTION("IF(R740&lt;&gt;"""", GOOGLETRANSLATE(R740, ""RO"", ""EN""), """")"),"")</f>
        <v/>
      </c>
      <c r="H740" s="5" t="str">
        <f>IFERROR(__xludf.DUMMYFUNCTION("IF(U740&lt;&gt;"""", GOOGLETRANSLATE(U740, ""RO"", ""EN""), """")"),"")</f>
        <v/>
      </c>
      <c r="I740" s="5" t="str">
        <f>IFERROR(__xludf.DUMMYFUNCTION("IF(V740&lt;&gt;"""", GOOGLETRANSLATE(V740, ""RO"", ""EN""), """")"),"")</f>
        <v/>
      </c>
      <c r="J740" s="5" t="str">
        <f>IFERROR(__xludf.DUMMYFUNCTION("IF(W740&lt;&gt;"""", GOOGLETRANSLATE(W740, ""RO"", ""EN""), """")"),"")</f>
        <v/>
      </c>
      <c r="K740" s="5" t="str">
        <f>IFERROR(__xludf.DUMMYFUNCTION("IF(X740&lt;&gt;"""", GOOGLETRANSLATE(X740, ""RO"", ""EN""), """")"),"")</f>
        <v/>
      </c>
      <c r="L740" s="5" t="str">
        <f>IFERROR(__xludf.DUMMYFUNCTION("IF(S740&lt;&gt;"""", GOOGLETRANSLATE(S740, ""RO"", ""EN""), """")"),"")</f>
        <v/>
      </c>
      <c r="M740" s="5" t="str">
        <f>IFERROR(__xludf.DUMMYFUNCTION("IF(T740&lt;&gt;"""", GOOGLETRANSLATE(T740, ""RO"", ""EN""), """")"),"")</f>
        <v/>
      </c>
      <c r="N740" s="5" t="str">
        <f>IFERROR(__xludf.DUMMYFUNCTION("IF(Y740&lt;&gt;"""", GOOGLETRANSLATE(Y740, ""RO"", ""EN""), """")"),"")</f>
        <v/>
      </c>
    </row>
    <row r="741" ht="15.75" customHeight="1">
      <c r="A741" s="4" t="s">
        <v>2007</v>
      </c>
      <c r="B741" s="4" t="s">
        <v>2008</v>
      </c>
      <c r="C741" s="4" t="str">
        <f>IFERROR(__xludf.DUMMYFUNCTION("GOOGLETRANSLATE(B741, ""RO"", ""EN"")"),"contacted in campaign - volunteering")</f>
        <v>contacted in campaign - volunteering</v>
      </c>
      <c r="D741" s="5" t="str">
        <f>IFERROR(__xludf.DUMMYFUNCTION("IF(O741&lt;&gt;"""", GOOGLETRANSLATE(O741, ""RO"", ""EN""), """")"),"")</f>
        <v/>
      </c>
      <c r="E741" s="6" t="str">
        <f>IFERROR(__xludf.DUMMYFUNCTION("IF(P741&lt;&gt;"""", GOOGLETRANSLATE(P741, ""RO"", ""EN""), """")"),"")</f>
        <v/>
      </c>
      <c r="F741" s="5" t="str">
        <f>IFERROR(__xludf.DUMMYFUNCTION("IF(Q741&lt;&gt;"""", GOOGLETRANSLATE(Q741, ""RO"", ""EN""), """")"),"")</f>
        <v/>
      </c>
      <c r="G741" s="5" t="str">
        <f>IFERROR(__xludf.DUMMYFUNCTION("IF(R741&lt;&gt;"""", GOOGLETRANSLATE(R741, ""RO"", ""EN""), """")"),"")</f>
        <v/>
      </c>
      <c r="H741" s="5" t="str">
        <f>IFERROR(__xludf.DUMMYFUNCTION("IF(U741&lt;&gt;"""", GOOGLETRANSLATE(U741, ""RO"", ""EN""), """")"),"")</f>
        <v/>
      </c>
      <c r="I741" s="5" t="str">
        <f>IFERROR(__xludf.DUMMYFUNCTION("IF(V741&lt;&gt;"""", GOOGLETRANSLATE(V741, ""RO"", ""EN""), """")"),"")</f>
        <v/>
      </c>
      <c r="J741" s="5" t="str">
        <f>IFERROR(__xludf.DUMMYFUNCTION("IF(W741&lt;&gt;"""", GOOGLETRANSLATE(W741, ""RO"", ""EN""), """")"),"")</f>
        <v/>
      </c>
      <c r="K741" s="5" t="str">
        <f>IFERROR(__xludf.DUMMYFUNCTION("IF(X741&lt;&gt;"""", GOOGLETRANSLATE(X741, ""RO"", ""EN""), """")"),"")</f>
        <v/>
      </c>
      <c r="L741" s="5" t="str">
        <f>IFERROR(__xludf.DUMMYFUNCTION("IF(S741&lt;&gt;"""", GOOGLETRANSLATE(S741, ""RO"", ""EN""), """")"),"")</f>
        <v/>
      </c>
      <c r="M741" s="5" t="str">
        <f>IFERROR(__xludf.DUMMYFUNCTION("IF(T741&lt;&gt;"""", GOOGLETRANSLATE(T741, ""RO"", ""EN""), """")"),"")</f>
        <v/>
      </c>
      <c r="N741" s="5" t="str">
        <f>IFERROR(__xludf.DUMMYFUNCTION("IF(Y741&lt;&gt;"""", GOOGLETRANSLATE(Y741, ""RO"", ""EN""), """")"),"")</f>
        <v/>
      </c>
    </row>
    <row r="742" ht="15.75" customHeight="1">
      <c r="A742" s="4" t="s">
        <v>2009</v>
      </c>
      <c r="B742" s="4" t="s">
        <v>2010</v>
      </c>
      <c r="C742" s="4" t="str">
        <f>IFERROR(__xludf.DUMMYFUNCTION("GOOGLETRANSLATE(B742, ""RO"", ""EN"")"),"Contacted in campaign - donations")</f>
        <v>Contacted in campaign - donations</v>
      </c>
      <c r="D742" s="5" t="str">
        <f>IFERROR(__xludf.DUMMYFUNCTION("IF(O742&lt;&gt;"""", GOOGLETRANSLATE(O742, ""RO"", ""EN""), """")"),"")</f>
        <v/>
      </c>
      <c r="E742" s="6" t="str">
        <f>IFERROR(__xludf.DUMMYFUNCTION("IF(P742&lt;&gt;"""", GOOGLETRANSLATE(P742, ""RO"", ""EN""), """")"),"")</f>
        <v/>
      </c>
      <c r="F742" s="5" t="str">
        <f>IFERROR(__xludf.DUMMYFUNCTION("IF(Q742&lt;&gt;"""", GOOGLETRANSLATE(Q742, ""RO"", ""EN""), """")"),"")</f>
        <v/>
      </c>
      <c r="G742" s="5" t="str">
        <f>IFERROR(__xludf.DUMMYFUNCTION("IF(R742&lt;&gt;"""", GOOGLETRANSLATE(R742, ""RO"", ""EN""), """")"),"")</f>
        <v/>
      </c>
      <c r="H742" s="5" t="str">
        <f>IFERROR(__xludf.DUMMYFUNCTION("IF(U742&lt;&gt;"""", GOOGLETRANSLATE(U742, ""RO"", ""EN""), """")"),"")</f>
        <v/>
      </c>
      <c r="I742" s="5" t="str">
        <f>IFERROR(__xludf.DUMMYFUNCTION("IF(V742&lt;&gt;"""", GOOGLETRANSLATE(V742, ""RO"", ""EN""), """")"),"")</f>
        <v/>
      </c>
      <c r="J742" s="5" t="str">
        <f>IFERROR(__xludf.DUMMYFUNCTION("IF(W742&lt;&gt;"""", GOOGLETRANSLATE(W742, ""RO"", ""EN""), """")"),"")</f>
        <v/>
      </c>
      <c r="K742" s="5" t="str">
        <f>IFERROR(__xludf.DUMMYFUNCTION("IF(X742&lt;&gt;"""", GOOGLETRANSLATE(X742, ""RO"", ""EN""), """")"),"")</f>
        <v/>
      </c>
      <c r="L742" s="5" t="str">
        <f>IFERROR(__xludf.DUMMYFUNCTION("IF(S742&lt;&gt;"""", GOOGLETRANSLATE(S742, ""RO"", ""EN""), """")"),"")</f>
        <v/>
      </c>
      <c r="M742" s="5" t="str">
        <f>IFERROR(__xludf.DUMMYFUNCTION("IF(T742&lt;&gt;"""", GOOGLETRANSLATE(T742, ""RO"", ""EN""), """")"),"")</f>
        <v/>
      </c>
      <c r="N742" s="5" t="str">
        <f>IFERROR(__xludf.DUMMYFUNCTION("IF(Y742&lt;&gt;"""", GOOGLETRANSLATE(Y742, ""RO"", ""EN""), """")"),"")</f>
        <v/>
      </c>
    </row>
    <row r="743" ht="15.75" customHeight="1">
      <c r="A743" s="4" t="s">
        <v>2011</v>
      </c>
      <c r="B743" s="4" t="s">
        <v>2012</v>
      </c>
      <c r="C743" s="4" t="str">
        <f>IFERROR(__xludf.DUMMYFUNCTION("GOOGLETRANSLATE(B743, ""RO"", ""EN"")"),"Contacted in campaign - vote grant")</f>
        <v>Contacted in campaign - vote grant</v>
      </c>
      <c r="D743" s="5" t="str">
        <f>IFERROR(__xludf.DUMMYFUNCTION("IF(O743&lt;&gt;"""", GOOGLETRANSLATE(O743, ""RO"", ""EN""), """")"),"")</f>
        <v/>
      </c>
      <c r="E743" s="6" t="str">
        <f>IFERROR(__xludf.DUMMYFUNCTION("IF(P743&lt;&gt;"""", GOOGLETRANSLATE(P743, ""RO"", ""EN""), """")"),"")</f>
        <v/>
      </c>
      <c r="F743" s="5" t="str">
        <f>IFERROR(__xludf.DUMMYFUNCTION("IF(Q743&lt;&gt;"""", GOOGLETRANSLATE(Q743, ""RO"", ""EN""), """")"),"")</f>
        <v/>
      </c>
      <c r="G743" s="5" t="str">
        <f>IFERROR(__xludf.DUMMYFUNCTION("IF(R743&lt;&gt;"""", GOOGLETRANSLATE(R743, ""RO"", ""EN""), """")"),"")</f>
        <v/>
      </c>
      <c r="H743" s="5" t="str">
        <f>IFERROR(__xludf.DUMMYFUNCTION("IF(U743&lt;&gt;"""", GOOGLETRANSLATE(U743, ""RO"", ""EN""), """")"),"")</f>
        <v/>
      </c>
      <c r="I743" s="5" t="str">
        <f>IFERROR(__xludf.DUMMYFUNCTION("IF(V743&lt;&gt;"""", GOOGLETRANSLATE(V743, ""RO"", ""EN""), """")"),"")</f>
        <v/>
      </c>
      <c r="J743" s="5" t="str">
        <f>IFERROR(__xludf.DUMMYFUNCTION("IF(W743&lt;&gt;"""", GOOGLETRANSLATE(W743, ""RO"", ""EN""), """")"),"")</f>
        <v/>
      </c>
      <c r="K743" s="5" t="str">
        <f>IFERROR(__xludf.DUMMYFUNCTION("IF(X743&lt;&gt;"""", GOOGLETRANSLATE(X743, ""RO"", ""EN""), """")"),"")</f>
        <v/>
      </c>
      <c r="L743" s="5" t="str">
        <f>IFERROR(__xludf.DUMMYFUNCTION("IF(S743&lt;&gt;"""", GOOGLETRANSLATE(S743, ""RO"", ""EN""), """")"),"")</f>
        <v/>
      </c>
      <c r="M743" s="5" t="str">
        <f>IFERROR(__xludf.DUMMYFUNCTION("IF(T743&lt;&gt;"""", GOOGLETRANSLATE(T743, ""RO"", ""EN""), """")"),"")</f>
        <v/>
      </c>
      <c r="N743" s="5" t="str">
        <f>IFERROR(__xludf.DUMMYFUNCTION("IF(Y743&lt;&gt;"""", GOOGLETRANSLATE(Y743, ""RO"", ""EN""), """")"),"")</f>
        <v/>
      </c>
    </row>
    <row r="744" ht="15.75" customHeight="1">
      <c r="A744" s="4" t="s">
        <v>2013</v>
      </c>
      <c r="B744" s="4" t="s">
        <v>2014</v>
      </c>
      <c r="C744" s="4" t="str">
        <f>IFERROR(__xludf.DUMMYFUNCTION("GOOGLETRANSLATE(B744, ""RO"", ""EN"")"),"contacted in the campaign")</f>
        <v>contacted in the campaign</v>
      </c>
      <c r="D744" s="5" t="str">
        <f>IFERROR(__xludf.DUMMYFUNCTION("IF(O744&lt;&gt;"""", GOOGLETRANSLATE(O744, ""RO"", ""EN""), """")"),"")</f>
        <v/>
      </c>
      <c r="E744" s="6" t="str">
        <f>IFERROR(__xludf.DUMMYFUNCTION("IF(P744&lt;&gt;"""", GOOGLETRANSLATE(P744, ""RO"", ""EN""), """")"),"")</f>
        <v/>
      </c>
      <c r="F744" s="5" t="str">
        <f>IFERROR(__xludf.DUMMYFUNCTION("IF(Q744&lt;&gt;"""", GOOGLETRANSLATE(Q744, ""RO"", ""EN""), """")"),"")</f>
        <v/>
      </c>
      <c r="G744" s="5" t="str">
        <f>IFERROR(__xludf.DUMMYFUNCTION("IF(R744&lt;&gt;"""", GOOGLETRANSLATE(R744, ""RO"", ""EN""), """")"),"")</f>
        <v/>
      </c>
      <c r="H744" s="5" t="str">
        <f>IFERROR(__xludf.DUMMYFUNCTION("IF(U744&lt;&gt;"""", GOOGLETRANSLATE(U744, ""RO"", ""EN""), """")"),"")</f>
        <v/>
      </c>
      <c r="I744" s="5" t="str">
        <f>IFERROR(__xludf.DUMMYFUNCTION("IF(V744&lt;&gt;"""", GOOGLETRANSLATE(V744, ""RO"", ""EN""), """")"),"")</f>
        <v/>
      </c>
      <c r="J744" s="5" t="str">
        <f>IFERROR(__xludf.DUMMYFUNCTION("IF(W744&lt;&gt;"""", GOOGLETRANSLATE(W744, ""RO"", ""EN""), """")"),"")</f>
        <v/>
      </c>
      <c r="K744" s="5" t="str">
        <f>IFERROR(__xludf.DUMMYFUNCTION("IF(X744&lt;&gt;"""", GOOGLETRANSLATE(X744, ""RO"", ""EN""), """")"),"")</f>
        <v/>
      </c>
      <c r="L744" s="5" t="str">
        <f>IFERROR(__xludf.DUMMYFUNCTION("IF(S744&lt;&gt;"""", GOOGLETRANSLATE(S744, ""RO"", ""EN""), """")"),"")</f>
        <v/>
      </c>
      <c r="M744" s="5" t="str">
        <f>IFERROR(__xludf.DUMMYFUNCTION("IF(T744&lt;&gt;"""", GOOGLETRANSLATE(T744, ""RO"", ""EN""), """")"),"")</f>
        <v/>
      </c>
      <c r="N744" s="5" t="str">
        <f>IFERROR(__xludf.DUMMYFUNCTION("IF(Y744&lt;&gt;"""", GOOGLETRANSLATE(Y744, ""RO"", ""EN""), """")"),"")</f>
        <v/>
      </c>
    </row>
    <row r="745" ht="15.75" customHeight="1">
      <c r="A745" s="4" t="s">
        <v>2015</v>
      </c>
      <c r="B745" s="4" t="s">
        <v>2004</v>
      </c>
      <c r="C745" s="4" t="str">
        <f>IFERROR(__xludf.DUMMYFUNCTION("GOOGLETRANSLATE(B745, ""RO"", ""EN"")"),"Contacted in campaign - Vote participation")</f>
        <v>Contacted in campaign - Vote participation</v>
      </c>
      <c r="D745" s="5" t="str">
        <f>IFERROR(__xludf.DUMMYFUNCTION("IF(O745&lt;&gt;"""", GOOGLETRANSLATE(O745, ""RO"", ""EN""), """")"),"not")</f>
        <v>not</v>
      </c>
      <c r="E745" s="6" t="str">
        <f>IFERROR(__xludf.DUMMYFUNCTION("IF(P745&lt;&gt;"""", GOOGLETRANSLATE(P745, ""RO"", ""EN""), """")"),"Yes")</f>
        <v>Yes</v>
      </c>
      <c r="F745" s="5" t="str">
        <f>IFERROR(__xludf.DUMMYFUNCTION("IF(Q745&lt;&gt;"""", GOOGLETRANSLATE(Q745, ""RO"", ""EN""), """")"),"")</f>
        <v/>
      </c>
      <c r="G745" s="5" t="str">
        <f>IFERROR(__xludf.DUMMYFUNCTION("IF(R745&lt;&gt;"""", GOOGLETRANSLATE(R745, ""RO"", ""EN""), """")"),"")</f>
        <v/>
      </c>
      <c r="H745" s="5" t="str">
        <f>IFERROR(__xludf.DUMMYFUNCTION("IF(U745&lt;&gt;"""", GOOGLETRANSLATE(U745, ""RO"", ""EN""), """")"),"")</f>
        <v/>
      </c>
      <c r="I745" s="5" t="str">
        <f>IFERROR(__xludf.DUMMYFUNCTION("IF(V745&lt;&gt;"""", GOOGLETRANSLATE(V745, ""RO"", ""EN""), """")"),"")</f>
        <v/>
      </c>
      <c r="J745" s="5" t="str">
        <f>IFERROR(__xludf.DUMMYFUNCTION("IF(W745&lt;&gt;"""", GOOGLETRANSLATE(W745, ""RO"", ""EN""), """")"),"")</f>
        <v/>
      </c>
      <c r="K745" s="5" t="str">
        <f>IFERROR(__xludf.DUMMYFUNCTION("IF(X745&lt;&gt;"""", GOOGLETRANSLATE(X745, ""RO"", ""EN""), """")"),"")</f>
        <v/>
      </c>
      <c r="L745" s="5" t="str">
        <f>IFERROR(__xludf.DUMMYFUNCTION("IF(S745&lt;&gt;"""", GOOGLETRANSLATE(S745, ""RO"", ""EN""), """")"),"")</f>
        <v/>
      </c>
      <c r="M745" s="5" t="str">
        <f>IFERROR(__xludf.DUMMYFUNCTION("IF(T745&lt;&gt;"""", GOOGLETRANSLATE(T745, ""RO"", ""EN""), """")"),"")</f>
        <v/>
      </c>
      <c r="N745" s="5" t="str">
        <f>IFERROR(__xludf.DUMMYFUNCTION("IF(Y745&lt;&gt;"""", GOOGLETRANSLATE(Y745, ""RO"", ""EN""), """")"),"")</f>
        <v/>
      </c>
      <c r="O745" s="4" t="s">
        <v>76</v>
      </c>
      <c r="P745" s="4" t="s">
        <v>77</v>
      </c>
    </row>
    <row r="746" ht="15.75" customHeight="1">
      <c r="A746" s="4" t="s">
        <v>2016</v>
      </c>
      <c r="B746" s="4" t="s">
        <v>2006</v>
      </c>
      <c r="C746" s="4" t="str">
        <f>IFERROR(__xludf.DUMMYFUNCTION("GOOGLETRANSLATE(B746, ""RO"", ""EN"")"),"Contacted in campaign - part rally")</f>
        <v>Contacted in campaign - part rally</v>
      </c>
      <c r="D746" s="5" t="str">
        <f>IFERROR(__xludf.DUMMYFUNCTION("IF(O746&lt;&gt;"""", GOOGLETRANSLATE(O746, ""RO"", ""EN""), """")"),"not")</f>
        <v>not</v>
      </c>
      <c r="E746" s="6" t="str">
        <f>IFERROR(__xludf.DUMMYFUNCTION("IF(P746&lt;&gt;"""", GOOGLETRANSLATE(P746, ""RO"", ""EN""), """")"),"Yes")</f>
        <v>Yes</v>
      </c>
      <c r="F746" s="5" t="str">
        <f>IFERROR(__xludf.DUMMYFUNCTION("IF(Q746&lt;&gt;"""", GOOGLETRANSLATE(Q746, ""RO"", ""EN""), """")"),"")</f>
        <v/>
      </c>
      <c r="G746" s="5" t="str">
        <f>IFERROR(__xludf.DUMMYFUNCTION("IF(R746&lt;&gt;"""", GOOGLETRANSLATE(R746, ""RO"", ""EN""), """")"),"")</f>
        <v/>
      </c>
      <c r="H746" s="5" t="str">
        <f>IFERROR(__xludf.DUMMYFUNCTION("IF(U746&lt;&gt;"""", GOOGLETRANSLATE(U746, ""RO"", ""EN""), """")"),"")</f>
        <v/>
      </c>
      <c r="I746" s="5" t="str">
        <f>IFERROR(__xludf.DUMMYFUNCTION("IF(V746&lt;&gt;"""", GOOGLETRANSLATE(V746, ""RO"", ""EN""), """")"),"")</f>
        <v/>
      </c>
      <c r="J746" s="5" t="str">
        <f>IFERROR(__xludf.DUMMYFUNCTION("IF(W746&lt;&gt;"""", GOOGLETRANSLATE(W746, ""RO"", ""EN""), """")"),"")</f>
        <v/>
      </c>
      <c r="K746" s="5" t="str">
        <f>IFERROR(__xludf.DUMMYFUNCTION("IF(X746&lt;&gt;"""", GOOGLETRANSLATE(X746, ""RO"", ""EN""), """")"),"")</f>
        <v/>
      </c>
      <c r="L746" s="5" t="str">
        <f>IFERROR(__xludf.DUMMYFUNCTION("IF(S746&lt;&gt;"""", GOOGLETRANSLATE(S746, ""RO"", ""EN""), """")"),"")</f>
        <v/>
      </c>
      <c r="M746" s="5" t="str">
        <f>IFERROR(__xludf.DUMMYFUNCTION("IF(T746&lt;&gt;"""", GOOGLETRANSLATE(T746, ""RO"", ""EN""), """")"),"")</f>
        <v/>
      </c>
      <c r="N746" s="5" t="str">
        <f>IFERROR(__xludf.DUMMYFUNCTION("IF(Y746&lt;&gt;"""", GOOGLETRANSLATE(Y746, ""RO"", ""EN""), """")"),"")</f>
        <v/>
      </c>
      <c r="O746" s="4" t="s">
        <v>76</v>
      </c>
      <c r="P746" s="4" t="s">
        <v>77</v>
      </c>
    </row>
    <row r="747" ht="15.75" customHeight="1">
      <c r="A747" s="4" t="s">
        <v>2017</v>
      </c>
      <c r="B747" s="4" t="s">
        <v>2008</v>
      </c>
      <c r="C747" s="4" t="str">
        <f>IFERROR(__xludf.DUMMYFUNCTION("GOOGLETRANSLATE(B747, ""RO"", ""EN"")"),"contacted in campaign - volunteering")</f>
        <v>contacted in campaign - volunteering</v>
      </c>
      <c r="D747" s="5" t="str">
        <f>IFERROR(__xludf.DUMMYFUNCTION("IF(O747&lt;&gt;"""", GOOGLETRANSLATE(O747, ""RO"", ""EN""), """")"),"not")</f>
        <v>not</v>
      </c>
      <c r="E747" s="6" t="str">
        <f>IFERROR(__xludf.DUMMYFUNCTION("IF(P747&lt;&gt;"""", GOOGLETRANSLATE(P747, ""RO"", ""EN""), """")"),"Yes")</f>
        <v>Yes</v>
      </c>
      <c r="F747" s="5" t="str">
        <f>IFERROR(__xludf.DUMMYFUNCTION("IF(Q747&lt;&gt;"""", GOOGLETRANSLATE(Q747, ""RO"", ""EN""), """")"),"")</f>
        <v/>
      </c>
      <c r="G747" s="5" t="str">
        <f>IFERROR(__xludf.DUMMYFUNCTION("IF(R747&lt;&gt;"""", GOOGLETRANSLATE(R747, ""RO"", ""EN""), """")"),"")</f>
        <v/>
      </c>
      <c r="H747" s="5" t="str">
        <f>IFERROR(__xludf.DUMMYFUNCTION("IF(U747&lt;&gt;"""", GOOGLETRANSLATE(U747, ""RO"", ""EN""), """")"),"")</f>
        <v/>
      </c>
      <c r="I747" s="5" t="str">
        <f>IFERROR(__xludf.DUMMYFUNCTION("IF(V747&lt;&gt;"""", GOOGLETRANSLATE(V747, ""RO"", ""EN""), """")"),"")</f>
        <v/>
      </c>
      <c r="J747" s="5" t="str">
        <f>IFERROR(__xludf.DUMMYFUNCTION("IF(W747&lt;&gt;"""", GOOGLETRANSLATE(W747, ""RO"", ""EN""), """")"),"")</f>
        <v/>
      </c>
      <c r="K747" s="5" t="str">
        <f>IFERROR(__xludf.DUMMYFUNCTION("IF(X747&lt;&gt;"""", GOOGLETRANSLATE(X747, ""RO"", ""EN""), """")"),"")</f>
        <v/>
      </c>
      <c r="L747" s="5" t="str">
        <f>IFERROR(__xludf.DUMMYFUNCTION("IF(S747&lt;&gt;"""", GOOGLETRANSLATE(S747, ""RO"", ""EN""), """")"),"")</f>
        <v/>
      </c>
      <c r="M747" s="5" t="str">
        <f>IFERROR(__xludf.DUMMYFUNCTION("IF(T747&lt;&gt;"""", GOOGLETRANSLATE(T747, ""RO"", ""EN""), """")"),"")</f>
        <v/>
      </c>
      <c r="N747" s="5" t="str">
        <f>IFERROR(__xludf.DUMMYFUNCTION("IF(Y747&lt;&gt;"""", GOOGLETRANSLATE(Y747, ""RO"", ""EN""), """")"),"")</f>
        <v/>
      </c>
      <c r="O747" s="4" t="s">
        <v>76</v>
      </c>
      <c r="P747" s="4" t="s">
        <v>77</v>
      </c>
    </row>
    <row r="748" ht="15.75" customHeight="1">
      <c r="A748" s="4" t="s">
        <v>2018</v>
      </c>
      <c r="B748" s="4" t="s">
        <v>2010</v>
      </c>
      <c r="C748" s="4" t="str">
        <f>IFERROR(__xludf.DUMMYFUNCTION("GOOGLETRANSLATE(B748, ""RO"", ""EN"")"),"Contacted in campaign - donations")</f>
        <v>Contacted in campaign - donations</v>
      </c>
      <c r="D748" s="5" t="str">
        <f>IFERROR(__xludf.DUMMYFUNCTION("IF(O748&lt;&gt;"""", GOOGLETRANSLATE(O748, ""RO"", ""EN""), """")"),"not")</f>
        <v>not</v>
      </c>
      <c r="E748" s="6" t="str">
        <f>IFERROR(__xludf.DUMMYFUNCTION("IF(P748&lt;&gt;"""", GOOGLETRANSLATE(P748, ""RO"", ""EN""), """")"),"Yes")</f>
        <v>Yes</v>
      </c>
      <c r="F748" s="5" t="str">
        <f>IFERROR(__xludf.DUMMYFUNCTION("IF(Q748&lt;&gt;"""", GOOGLETRANSLATE(Q748, ""RO"", ""EN""), """")"),"")</f>
        <v/>
      </c>
      <c r="G748" s="5" t="str">
        <f>IFERROR(__xludf.DUMMYFUNCTION("IF(R748&lt;&gt;"""", GOOGLETRANSLATE(R748, ""RO"", ""EN""), """")"),"")</f>
        <v/>
      </c>
      <c r="H748" s="5" t="str">
        <f>IFERROR(__xludf.DUMMYFUNCTION("IF(U748&lt;&gt;"""", GOOGLETRANSLATE(U748, ""RO"", ""EN""), """")"),"")</f>
        <v/>
      </c>
      <c r="I748" s="5" t="str">
        <f>IFERROR(__xludf.DUMMYFUNCTION("IF(V748&lt;&gt;"""", GOOGLETRANSLATE(V748, ""RO"", ""EN""), """")"),"")</f>
        <v/>
      </c>
      <c r="J748" s="5" t="str">
        <f>IFERROR(__xludf.DUMMYFUNCTION("IF(W748&lt;&gt;"""", GOOGLETRANSLATE(W748, ""RO"", ""EN""), """")"),"")</f>
        <v/>
      </c>
      <c r="K748" s="5" t="str">
        <f>IFERROR(__xludf.DUMMYFUNCTION("IF(X748&lt;&gt;"""", GOOGLETRANSLATE(X748, ""RO"", ""EN""), """")"),"")</f>
        <v/>
      </c>
      <c r="L748" s="5" t="str">
        <f>IFERROR(__xludf.DUMMYFUNCTION("IF(S748&lt;&gt;"""", GOOGLETRANSLATE(S748, ""RO"", ""EN""), """")"),"")</f>
        <v/>
      </c>
      <c r="M748" s="5" t="str">
        <f>IFERROR(__xludf.DUMMYFUNCTION("IF(T748&lt;&gt;"""", GOOGLETRANSLATE(T748, ""RO"", ""EN""), """")"),"")</f>
        <v/>
      </c>
      <c r="N748" s="5" t="str">
        <f>IFERROR(__xludf.DUMMYFUNCTION("IF(Y748&lt;&gt;"""", GOOGLETRANSLATE(Y748, ""RO"", ""EN""), """")"),"")</f>
        <v/>
      </c>
      <c r="O748" s="4" t="s">
        <v>76</v>
      </c>
      <c r="P748" s="4" t="s">
        <v>77</v>
      </c>
    </row>
    <row r="749" ht="15.75" customHeight="1">
      <c r="A749" s="4" t="s">
        <v>2019</v>
      </c>
      <c r="B749" s="4" t="s">
        <v>2012</v>
      </c>
      <c r="C749" s="4" t="str">
        <f>IFERROR(__xludf.DUMMYFUNCTION("GOOGLETRANSLATE(B749, ""RO"", ""EN"")"),"Contacted in campaign - vote grant")</f>
        <v>Contacted in campaign - vote grant</v>
      </c>
      <c r="D749" s="5" t="str">
        <f>IFERROR(__xludf.DUMMYFUNCTION("IF(O749&lt;&gt;"""", GOOGLETRANSLATE(O749, ""RO"", ""EN""), """")"),"not")</f>
        <v>not</v>
      </c>
      <c r="E749" s="6" t="str">
        <f>IFERROR(__xludf.DUMMYFUNCTION("IF(P749&lt;&gt;"""", GOOGLETRANSLATE(P749, ""RO"", ""EN""), """")"),"Yes")</f>
        <v>Yes</v>
      </c>
      <c r="F749" s="5" t="str">
        <f>IFERROR(__xludf.DUMMYFUNCTION("IF(Q749&lt;&gt;"""", GOOGLETRANSLATE(Q749, ""RO"", ""EN""), """")"),"")</f>
        <v/>
      </c>
      <c r="G749" s="5" t="str">
        <f>IFERROR(__xludf.DUMMYFUNCTION("IF(R749&lt;&gt;"""", GOOGLETRANSLATE(R749, ""RO"", ""EN""), """")"),"")</f>
        <v/>
      </c>
      <c r="H749" s="5" t="str">
        <f>IFERROR(__xludf.DUMMYFUNCTION("IF(U749&lt;&gt;"""", GOOGLETRANSLATE(U749, ""RO"", ""EN""), """")"),"")</f>
        <v/>
      </c>
      <c r="I749" s="5" t="str">
        <f>IFERROR(__xludf.DUMMYFUNCTION("IF(V749&lt;&gt;"""", GOOGLETRANSLATE(V749, ""RO"", ""EN""), """")"),"")</f>
        <v/>
      </c>
      <c r="J749" s="5" t="str">
        <f>IFERROR(__xludf.DUMMYFUNCTION("IF(W749&lt;&gt;"""", GOOGLETRANSLATE(W749, ""RO"", ""EN""), """")"),"")</f>
        <v/>
      </c>
      <c r="K749" s="5" t="str">
        <f>IFERROR(__xludf.DUMMYFUNCTION("IF(X749&lt;&gt;"""", GOOGLETRANSLATE(X749, ""RO"", ""EN""), """")"),"")</f>
        <v/>
      </c>
      <c r="L749" s="5" t="str">
        <f>IFERROR(__xludf.DUMMYFUNCTION("IF(S749&lt;&gt;"""", GOOGLETRANSLATE(S749, ""RO"", ""EN""), """")"),"")</f>
        <v/>
      </c>
      <c r="M749" s="5" t="str">
        <f>IFERROR(__xludf.DUMMYFUNCTION("IF(T749&lt;&gt;"""", GOOGLETRANSLATE(T749, ""RO"", ""EN""), """")"),"")</f>
        <v/>
      </c>
      <c r="N749" s="5" t="str">
        <f>IFERROR(__xludf.DUMMYFUNCTION("IF(Y749&lt;&gt;"""", GOOGLETRANSLATE(Y749, ""RO"", ""EN""), """")"),"")</f>
        <v/>
      </c>
      <c r="O749" s="4" t="s">
        <v>76</v>
      </c>
      <c r="P749" s="4" t="s">
        <v>77</v>
      </c>
    </row>
    <row r="750" ht="15.75" customHeight="1">
      <c r="A750" s="4" t="s">
        <v>2020</v>
      </c>
      <c r="B750" s="4" t="s">
        <v>2021</v>
      </c>
      <c r="C750" s="4" t="str">
        <f>IFERROR(__xludf.DUMMYFUNCTION("GOOGLETRANSLATE(B750, ""RO"", ""EN"")"),"has changed its vote in the campaign")</f>
        <v>has changed its vote in the campaign</v>
      </c>
      <c r="D750" s="5" t="str">
        <f>IFERROR(__xludf.DUMMYFUNCTION("IF(O750&lt;&gt;"""", GOOGLETRANSLATE(O750, ""RO"", ""EN""), """")"),"not")</f>
        <v>not</v>
      </c>
      <c r="E750" s="6" t="str">
        <f>IFERROR(__xludf.DUMMYFUNCTION("IF(P750&lt;&gt;"""", GOOGLETRANSLATE(P750, ""RO"", ""EN""), """")"),"Yes")</f>
        <v>Yes</v>
      </c>
      <c r="F750" s="5" t="str">
        <f>IFERROR(__xludf.DUMMYFUNCTION("IF(Q750&lt;&gt;"""", GOOGLETRANSLATE(Q750, ""RO"", ""EN""), """")"),"")</f>
        <v/>
      </c>
      <c r="G750" s="5" t="str">
        <f>IFERROR(__xludf.DUMMYFUNCTION("IF(R750&lt;&gt;"""", GOOGLETRANSLATE(R750, ""RO"", ""EN""), """")"),"")</f>
        <v/>
      </c>
      <c r="H750" s="5" t="str">
        <f>IFERROR(__xludf.DUMMYFUNCTION("IF(U750&lt;&gt;"""", GOOGLETRANSLATE(U750, ""RO"", ""EN""), """")"),"")</f>
        <v/>
      </c>
      <c r="I750" s="5" t="str">
        <f>IFERROR(__xludf.DUMMYFUNCTION("IF(V750&lt;&gt;"""", GOOGLETRANSLATE(V750, ""RO"", ""EN""), """")"),"")</f>
        <v/>
      </c>
      <c r="J750" s="5" t="str">
        <f>IFERROR(__xludf.DUMMYFUNCTION("IF(W750&lt;&gt;"""", GOOGLETRANSLATE(W750, ""RO"", ""EN""), """")"),"")</f>
        <v/>
      </c>
      <c r="K750" s="5" t="str">
        <f>IFERROR(__xludf.DUMMYFUNCTION("IF(X750&lt;&gt;"""", GOOGLETRANSLATE(X750, ""RO"", ""EN""), """")"),"")</f>
        <v/>
      </c>
      <c r="L750" s="5" t="str">
        <f>IFERROR(__xludf.DUMMYFUNCTION("IF(S750&lt;&gt;"""", GOOGLETRANSLATE(S750, ""RO"", ""EN""), """")"),"")</f>
        <v/>
      </c>
      <c r="M750" s="5" t="str">
        <f>IFERROR(__xludf.DUMMYFUNCTION("IF(T750&lt;&gt;"""", GOOGLETRANSLATE(T750, ""RO"", ""EN""), """")"),"")</f>
        <v/>
      </c>
      <c r="N750" s="5" t="str">
        <f>IFERROR(__xludf.DUMMYFUNCTION("IF(Y750&lt;&gt;"""", GOOGLETRANSLATE(Y750, ""RO"", ""EN""), """")"),"")</f>
        <v/>
      </c>
      <c r="O750" s="4" t="s">
        <v>76</v>
      </c>
      <c r="P750" s="4" t="s">
        <v>77</v>
      </c>
    </row>
    <row r="751" ht="15.75" customHeight="1">
      <c r="A751" s="4" t="s">
        <v>2022</v>
      </c>
      <c r="B751" s="4" t="s">
        <v>2023</v>
      </c>
      <c r="C751" s="4" t="str">
        <f>IFERROR(__xludf.DUMMYFUNCTION("GOOGLETRANSLATE(B751, ""RO"", ""EN"")"),"changed its vote in the campaign (includes undecis)")</f>
        <v>changed its vote in the campaign (includes undecis)</v>
      </c>
      <c r="D751" s="5" t="str">
        <f>IFERROR(__xludf.DUMMYFUNCTION("IF(O751&lt;&gt;"""", GOOGLETRANSLATE(O751, ""RO"", ""EN""), """")"),"not")</f>
        <v>not</v>
      </c>
      <c r="E751" s="6" t="str">
        <f>IFERROR(__xludf.DUMMYFUNCTION("IF(P751&lt;&gt;"""", GOOGLETRANSLATE(P751, ""RO"", ""EN""), """")"),"Yes")</f>
        <v>Yes</v>
      </c>
      <c r="F751" s="5" t="str">
        <f>IFERROR(__xludf.DUMMYFUNCTION("IF(Q751&lt;&gt;"""", GOOGLETRANSLATE(Q751, ""RO"", ""EN""), """")"),"")</f>
        <v/>
      </c>
      <c r="G751" s="5" t="str">
        <f>IFERROR(__xludf.DUMMYFUNCTION("IF(R751&lt;&gt;"""", GOOGLETRANSLATE(R751, ""RO"", ""EN""), """")"),"")</f>
        <v/>
      </c>
      <c r="H751" s="5" t="str">
        <f>IFERROR(__xludf.DUMMYFUNCTION("IF(U751&lt;&gt;"""", GOOGLETRANSLATE(U751, ""RO"", ""EN""), """")"),"")</f>
        <v/>
      </c>
      <c r="I751" s="5" t="str">
        <f>IFERROR(__xludf.DUMMYFUNCTION("IF(V751&lt;&gt;"""", GOOGLETRANSLATE(V751, ""RO"", ""EN""), """")"),"")</f>
        <v/>
      </c>
      <c r="J751" s="5" t="str">
        <f>IFERROR(__xludf.DUMMYFUNCTION("IF(W751&lt;&gt;"""", GOOGLETRANSLATE(W751, ""RO"", ""EN""), """")"),"")</f>
        <v/>
      </c>
      <c r="K751" s="5" t="str">
        <f>IFERROR(__xludf.DUMMYFUNCTION("IF(X751&lt;&gt;"""", GOOGLETRANSLATE(X751, ""RO"", ""EN""), """")"),"")</f>
        <v/>
      </c>
      <c r="L751" s="5" t="str">
        <f>IFERROR(__xludf.DUMMYFUNCTION("IF(S751&lt;&gt;"""", GOOGLETRANSLATE(S751, ""RO"", ""EN""), """")"),"")</f>
        <v/>
      </c>
      <c r="M751" s="5" t="str">
        <f>IFERROR(__xludf.DUMMYFUNCTION("IF(T751&lt;&gt;"""", GOOGLETRANSLATE(T751, ""RO"", ""EN""), """")"),"")</f>
        <v/>
      </c>
      <c r="N751" s="5" t="str">
        <f>IFERROR(__xludf.DUMMYFUNCTION("IF(Y751&lt;&gt;"""", GOOGLETRANSLATE(Y751, ""RO"", ""EN""), """")"),"")</f>
        <v/>
      </c>
      <c r="O751" s="4" t="s">
        <v>76</v>
      </c>
      <c r="P751" s="4" t="s">
        <v>77</v>
      </c>
    </row>
    <row r="752" ht="15.75" customHeight="1">
      <c r="A752" s="4" t="s">
        <v>2024</v>
      </c>
      <c r="B752" s="4" t="s">
        <v>2025</v>
      </c>
      <c r="C752" s="4" t="str">
        <f>IFERROR(__xludf.DUMMYFUNCTION("GOOGLETRANSLATE(B752, ""RO"", ""EN"")"),"changed his vote in the campaign - he wanted to vote but did not vote")</f>
        <v>changed his vote in the campaign - he wanted to vote but did not vote</v>
      </c>
      <c r="D752" s="5" t="str">
        <f>IFERROR(__xludf.DUMMYFUNCTION("IF(O752&lt;&gt;"""", GOOGLETRANSLATE(O752, ""RO"", ""EN""), """")"),"not")</f>
        <v>not</v>
      </c>
      <c r="E752" s="6" t="str">
        <f>IFERROR(__xludf.DUMMYFUNCTION("IF(P752&lt;&gt;"""", GOOGLETRANSLATE(P752, ""RO"", ""EN""), """")"),"Yes")</f>
        <v>Yes</v>
      </c>
      <c r="F752" s="5" t="str">
        <f>IFERROR(__xludf.DUMMYFUNCTION("IF(Q752&lt;&gt;"""", GOOGLETRANSLATE(Q752, ""RO"", ""EN""), """")"),"")</f>
        <v/>
      </c>
      <c r="G752" s="5" t="str">
        <f>IFERROR(__xludf.DUMMYFUNCTION("IF(R752&lt;&gt;"""", GOOGLETRANSLATE(R752, ""RO"", ""EN""), """")"),"")</f>
        <v/>
      </c>
      <c r="H752" s="5" t="str">
        <f>IFERROR(__xludf.DUMMYFUNCTION("IF(U752&lt;&gt;"""", GOOGLETRANSLATE(U752, ""RO"", ""EN""), """")"),"")</f>
        <v/>
      </c>
      <c r="I752" s="5" t="str">
        <f>IFERROR(__xludf.DUMMYFUNCTION("IF(V752&lt;&gt;"""", GOOGLETRANSLATE(V752, ""RO"", ""EN""), """")"),"")</f>
        <v/>
      </c>
      <c r="J752" s="5" t="str">
        <f>IFERROR(__xludf.DUMMYFUNCTION("IF(W752&lt;&gt;"""", GOOGLETRANSLATE(W752, ""RO"", ""EN""), """")"),"")</f>
        <v/>
      </c>
      <c r="K752" s="5" t="str">
        <f>IFERROR(__xludf.DUMMYFUNCTION("IF(X752&lt;&gt;"""", GOOGLETRANSLATE(X752, ""RO"", ""EN""), """")"),"")</f>
        <v/>
      </c>
      <c r="L752" s="5" t="str">
        <f>IFERROR(__xludf.DUMMYFUNCTION("IF(S752&lt;&gt;"""", GOOGLETRANSLATE(S752, ""RO"", ""EN""), """")"),"")</f>
        <v/>
      </c>
      <c r="M752" s="5" t="str">
        <f>IFERROR(__xludf.DUMMYFUNCTION("IF(T752&lt;&gt;"""", GOOGLETRANSLATE(T752, ""RO"", ""EN""), """")"),"")</f>
        <v/>
      </c>
      <c r="N752" s="5" t="str">
        <f>IFERROR(__xludf.DUMMYFUNCTION("IF(Y752&lt;&gt;"""", GOOGLETRANSLATE(Y752, ""RO"", ""EN""), """")"),"")</f>
        <v/>
      </c>
      <c r="O752" s="4" t="s">
        <v>76</v>
      </c>
      <c r="P752" s="4" t="s">
        <v>77</v>
      </c>
    </row>
    <row r="753" ht="15.75" customHeight="1">
      <c r="A753" s="4" t="s">
        <v>2026</v>
      </c>
      <c r="B753" s="4" t="s">
        <v>2027</v>
      </c>
      <c r="C753" s="4" t="str">
        <f>IFERROR(__xludf.DUMMYFUNCTION("GOOGLETRANSLATE(B753, ""RO"", ""EN"")"),"He changed his vote in the campaign - he wanted to vote but did not vote (includes indecisions)")</f>
        <v>He changed his vote in the campaign - he wanted to vote but did not vote (includes indecisions)</v>
      </c>
      <c r="D753" s="5" t="str">
        <f>IFERROR(__xludf.DUMMYFUNCTION("IF(O753&lt;&gt;"""", GOOGLETRANSLATE(O753, ""RO"", ""EN""), """")"),"not")</f>
        <v>not</v>
      </c>
      <c r="E753" s="6" t="str">
        <f>IFERROR(__xludf.DUMMYFUNCTION("IF(P753&lt;&gt;"""", GOOGLETRANSLATE(P753, ""RO"", ""EN""), """")"),"Yes")</f>
        <v>Yes</v>
      </c>
      <c r="F753" s="5" t="str">
        <f>IFERROR(__xludf.DUMMYFUNCTION("IF(Q753&lt;&gt;"""", GOOGLETRANSLATE(Q753, ""RO"", ""EN""), """")"),"")</f>
        <v/>
      </c>
      <c r="G753" s="5" t="str">
        <f>IFERROR(__xludf.DUMMYFUNCTION("IF(R753&lt;&gt;"""", GOOGLETRANSLATE(R753, ""RO"", ""EN""), """")"),"")</f>
        <v/>
      </c>
      <c r="H753" s="5" t="str">
        <f>IFERROR(__xludf.DUMMYFUNCTION("IF(U753&lt;&gt;"""", GOOGLETRANSLATE(U753, ""RO"", ""EN""), """")"),"")</f>
        <v/>
      </c>
      <c r="I753" s="5" t="str">
        <f>IFERROR(__xludf.DUMMYFUNCTION("IF(V753&lt;&gt;"""", GOOGLETRANSLATE(V753, ""RO"", ""EN""), """")"),"")</f>
        <v/>
      </c>
      <c r="J753" s="5" t="str">
        <f>IFERROR(__xludf.DUMMYFUNCTION("IF(W753&lt;&gt;"""", GOOGLETRANSLATE(W753, ""RO"", ""EN""), """")"),"")</f>
        <v/>
      </c>
      <c r="K753" s="5" t="str">
        <f>IFERROR(__xludf.DUMMYFUNCTION("IF(X753&lt;&gt;"""", GOOGLETRANSLATE(X753, ""RO"", ""EN""), """")"),"")</f>
        <v/>
      </c>
      <c r="L753" s="5" t="str">
        <f>IFERROR(__xludf.DUMMYFUNCTION("IF(S753&lt;&gt;"""", GOOGLETRANSLATE(S753, ""RO"", ""EN""), """")"),"")</f>
        <v/>
      </c>
      <c r="M753" s="5" t="str">
        <f>IFERROR(__xludf.DUMMYFUNCTION("IF(T753&lt;&gt;"""", GOOGLETRANSLATE(T753, ""RO"", ""EN""), """")"),"")</f>
        <v/>
      </c>
      <c r="N753" s="5" t="str">
        <f>IFERROR(__xludf.DUMMYFUNCTION("IF(Y753&lt;&gt;"""", GOOGLETRANSLATE(Y753, ""RO"", ""EN""), """")"),"")</f>
        <v/>
      </c>
      <c r="O753" s="4" t="s">
        <v>76</v>
      </c>
      <c r="P753" s="4" t="s">
        <v>77</v>
      </c>
    </row>
    <row r="754" ht="15.75" customHeight="1">
      <c r="A754" s="4" t="s">
        <v>2028</v>
      </c>
      <c r="B754" s="4" t="s">
        <v>2029</v>
      </c>
      <c r="C754" s="4" t="str">
        <f>IFERROR(__xludf.DUMMYFUNCTION("GOOGLETRANSLATE(B754, ""RO"", ""EN"")"),"changed his vote in the campaign - he didn't want to vote but voted")</f>
        <v>changed his vote in the campaign - he didn't want to vote but voted</v>
      </c>
      <c r="D754" s="5" t="str">
        <f>IFERROR(__xludf.DUMMYFUNCTION("IF(O754&lt;&gt;"""", GOOGLETRANSLATE(O754, ""RO"", ""EN""), """")"),"not")</f>
        <v>not</v>
      </c>
      <c r="E754" s="6" t="str">
        <f>IFERROR(__xludf.DUMMYFUNCTION("IF(P754&lt;&gt;"""", GOOGLETRANSLATE(P754, ""RO"", ""EN""), """")"),"Yes")</f>
        <v>Yes</v>
      </c>
      <c r="F754" s="5" t="str">
        <f>IFERROR(__xludf.DUMMYFUNCTION("IF(Q754&lt;&gt;"""", GOOGLETRANSLATE(Q754, ""RO"", ""EN""), """")"),"")</f>
        <v/>
      </c>
      <c r="G754" s="5" t="str">
        <f>IFERROR(__xludf.DUMMYFUNCTION("IF(R754&lt;&gt;"""", GOOGLETRANSLATE(R754, ""RO"", ""EN""), """")"),"")</f>
        <v/>
      </c>
      <c r="H754" s="5" t="str">
        <f>IFERROR(__xludf.DUMMYFUNCTION("IF(U754&lt;&gt;"""", GOOGLETRANSLATE(U754, ""RO"", ""EN""), """")"),"")</f>
        <v/>
      </c>
      <c r="I754" s="5" t="str">
        <f>IFERROR(__xludf.DUMMYFUNCTION("IF(V754&lt;&gt;"""", GOOGLETRANSLATE(V754, ""RO"", ""EN""), """")"),"")</f>
        <v/>
      </c>
      <c r="J754" s="5" t="str">
        <f>IFERROR(__xludf.DUMMYFUNCTION("IF(W754&lt;&gt;"""", GOOGLETRANSLATE(W754, ""RO"", ""EN""), """")"),"")</f>
        <v/>
      </c>
      <c r="K754" s="5" t="str">
        <f>IFERROR(__xludf.DUMMYFUNCTION("IF(X754&lt;&gt;"""", GOOGLETRANSLATE(X754, ""RO"", ""EN""), """")"),"")</f>
        <v/>
      </c>
      <c r="L754" s="5" t="str">
        <f>IFERROR(__xludf.DUMMYFUNCTION("IF(S754&lt;&gt;"""", GOOGLETRANSLATE(S754, ""RO"", ""EN""), """")"),"")</f>
        <v/>
      </c>
      <c r="M754" s="5" t="str">
        <f>IFERROR(__xludf.DUMMYFUNCTION("IF(T754&lt;&gt;"""", GOOGLETRANSLATE(T754, ""RO"", ""EN""), """")"),"")</f>
        <v/>
      </c>
      <c r="N754" s="5" t="str">
        <f>IFERROR(__xludf.DUMMYFUNCTION("IF(Y754&lt;&gt;"""", GOOGLETRANSLATE(Y754, ""RO"", ""EN""), """")"),"")</f>
        <v/>
      </c>
      <c r="O754" s="4" t="s">
        <v>76</v>
      </c>
      <c r="P754" s="4" t="s">
        <v>77</v>
      </c>
    </row>
    <row r="755" ht="15.75" customHeight="1">
      <c r="A755" s="4" t="s">
        <v>2030</v>
      </c>
      <c r="B755" s="4" t="s">
        <v>2031</v>
      </c>
      <c r="C755" s="4" t="str">
        <f>IFERROR(__xludf.DUMMYFUNCTION("GOOGLETRANSLATE(B755, ""RO"", ""EN"")"),"changed his vote in the campaign - changed the candidate")</f>
        <v>changed his vote in the campaign - changed the candidate</v>
      </c>
      <c r="D755" s="5" t="str">
        <f>IFERROR(__xludf.DUMMYFUNCTION("IF(O755&lt;&gt;"""", GOOGLETRANSLATE(O755, ""RO"", ""EN""), """")"),"not")</f>
        <v>not</v>
      </c>
      <c r="E755" s="6" t="str">
        <f>IFERROR(__xludf.DUMMYFUNCTION("IF(P755&lt;&gt;"""", GOOGLETRANSLATE(P755, ""RO"", ""EN""), """")"),"Yes")</f>
        <v>Yes</v>
      </c>
      <c r="F755" s="5" t="str">
        <f>IFERROR(__xludf.DUMMYFUNCTION("IF(Q755&lt;&gt;"""", GOOGLETRANSLATE(Q755, ""RO"", ""EN""), """")"),"")</f>
        <v/>
      </c>
      <c r="G755" s="5" t="str">
        <f>IFERROR(__xludf.DUMMYFUNCTION("IF(R755&lt;&gt;"""", GOOGLETRANSLATE(R755, ""RO"", ""EN""), """")"),"")</f>
        <v/>
      </c>
      <c r="H755" s="5" t="str">
        <f>IFERROR(__xludf.DUMMYFUNCTION("IF(U755&lt;&gt;"""", GOOGLETRANSLATE(U755, ""RO"", ""EN""), """")"),"")</f>
        <v/>
      </c>
      <c r="I755" s="5" t="str">
        <f>IFERROR(__xludf.DUMMYFUNCTION("IF(V755&lt;&gt;"""", GOOGLETRANSLATE(V755, ""RO"", ""EN""), """")"),"")</f>
        <v/>
      </c>
      <c r="J755" s="5" t="str">
        <f>IFERROR(__xludf.DUMMYFUNCTION("IF(W755&lt;&gt;"""", GOOGLETRANSLATE(W755, ""RO"", ""EN""), """")"),"")</f>
        <v/>
      </c>
      <c r="K755" s="5" t="str">
        <f>IFERROR(__xludf.DUMMYFUNCTION("IF(X755&lt;&gt;"""", GOOGLETRANSLATE(X755, ""RO"", ""EN""), """")"),"")</f>
        <v/>
      </c>
      <c r="L755" s="5" t="str">
        <f>IFERROR(__xludf.DUMMYFUNCTION("IF(S755&lt;&gt;"""", GOOGLETRANSLATE(S755, ""RO"", ""EN""), """")"),"")</f>
        <v/>
      </c>
      <c r="M755" s="5" t="str">
        <f>IFERROR(__xludf.DUMMYFUNCTION("IF(T755&lt;&gt;"""", GOOGLETRANSLATE(T755, ""RO"", ""EN""), """")"),"")</f>
        <v/>
      </c>
      <c r="N755" s="5" t="str">
        <f>IFERROR(__xludf.DUMMYFUNCTION("IF(Y755&lt;&gt;"""", GOOGLETRANSLATE(Y755, ""RO"", ""EN""), """")"),"")</f>
        <v/>
      </c>
      <c r="O755" s="4" t="s">
        <v>76</v>
      </c>
      <c r="P755" s="4" t="s">
        <v>77</v>
      </c>
    </row>
    <row r="756" ht="15.75" customHeight="1">
      <c r="A756" s="4" t="s">
        <v>2032</v>
      </c>
      <c r="B756" s="4" t="s">
        <v>2033</v>
      </c>
      <c r="C756" s="4" t="str">
        <f>IFERROR(__xludf.DUMMYFUNCTION("GOOGLETRANSLATE(B756, ""RO"", ""EN"")"),"changed its vote in the campaign - changed the candidate (includes undecis)")</f>
        <v>changed its vote in the campaign - changed the candidate (includes undecis)</v>
      </c>
      <c r="D756" s="5" t="str">
        <f>IFERROR(__xludf.DUMMYFUNCTION("IF(O756&lt;&gt;"""", GOOGLETRANSLATE(O756, ""RO"", ""EN""), """")"),"not")</f>
        <v>not</v>
      </c>
      <c r="E756" s="6" t="str">
        <f>IFERROR(__xludf.DUMMYFUNCTION("IF(P756&lt;&gt;"""", GOOGLETRANSLATE(P756, ""RO"", ""EN""), """")"),"Yes")</f>
        <v>Yes</v>
      </c>
      <c r="F756" s="5" t="str">
        <f>IFERROR(__xludf.DUMMYFUNCTION("IF(Q756&lt;&gt;"""", GOOGLETRANSLATE(Q756, ""RO"", ""EN""), """")"),"")</f>
        <v/>
      </c>
      <c r="G756" s="5" t="str">
        <f>IFERROR(__xludf.DUMMYFUNCTION("IF(R756&lt;&gt;"""", GOOGLETRANSLATE(R756, ""RO"", ""EN""), """")"),"")</f>
        <v/>
      </c>
      <c r="H756" s="5" t="str">
        <f>IFERROR(__xludf.DUMMYFUNCTION("IF(U756&lt;&gt;"""", GOOGLETRANSLATE(U756, ""RO"", ""EN""), """")"),"")</f>
        <v/>
      </c>
      <c r="I756" s="5" t="str">
        <f>IFERROR(__xludf.DUMMYFUNCTION("IF(V756&lt;&gt;"""", GOOGLETRANSLATE(V756, ""RO"", ""EN""), """")"),"")</f>
        <v/>
      </c>
      <c r="J756" s="5" t="str">
        <f>IFERROR(__xludf.DUMMYFUNCTION("IF(W756&lt;&gt;"""", GOOGLETRANSLATE(W756, ""RO"", ""EN""), """")"),"")</f>
        <v/>
      </c>
      <c r="K756" s="5" t="str">
        <f>IFERROR(__xludf.DUMMYFUNCTION("IF(X756&lt;&gt;"""", GOOGLETRANSLATE(X756, ""RO"", ""EN""), """")"),"")</f>
        <v/>
      </c>
      <c r="L756" s="5" t="str">
        <f>IFERROR(__xludf.DUMMYFUNCTION("IF(S756&lt;&gt;"""", GOOGLETRANSLATE(S756, ""RO"", ""EN""), """")"),"")</f>
        <v/>
      </c>
      <c r="M756" s="5" t="str">
        <f>IFERROR(__xludf.DUMMYFUNCTION("IF(T756&lt;&gt;"""", GOOGLETRANSLATE(T756, ""RO"", ""EN""), """")"),"")</f>
        <v/>
      </c>
      <c r="N756" s="5" t="str">
        <f>IFERROR(__xludf.DUMMYFUNCTION("IF(Y756&lt;&gt;"""", GOOGLETRANSLATE(Y756, ""RO"", ""EN""), """")"),"")</f>
        <v/>
      </c>
      <c r="O756" s="4" t="s">
        <v>76</v>
      </c>
      <c r="P756" s="4" t="s">
        <v>77</v>
      </c>
    </row>
    <row r="757" ht="15.75" customHeight="1">
      <c r="A757" s="4" t="s">
        <v>2034</v>
      </c>
      <c r="B757" s="4" t="s">
        <v>2035</v>
      </c>
      <c r="C757" s="4" t="str">
        <f>IFERROR(__xludf.DUMMYFUNCTION("GOOGLETRANSLATE(B757, ""RO"", ""EN"")"),"undecided before tour 1 - with whom to vote (v2)")</f>
        <v>undecided before tour 1 - with whom to vote (v2)</v>
      </c>
      <c r="D757" s="5" t="str">
        <f>IFERROR(__xludf.DUMMYFUNCTION("IF(O757&lt;&gt;"""", GOOGLETRANSLATE(O757, ""RO"", ""EN""), """")"),"not")</f>
        <v>not</v>
      </c>
      <c r="E757" s="6" t="str">
        <f>IFERROR(__xludf.DUMMYFUNCTION("IF(P757&lt;&gt;"""", GOOGLETRANSLATE(P757, ""RO"", ""EN""), """")"),"Yes")</f>
        <v>Yes</v>
      </c>
      <c r="F757" s="5" t="str">
        <f>IFERROR(__xludf.DUMMYFUNCTION("IF(Q757&lt;&gt;"""", GOOGLETRANSLATE(Q757, ""RO"", ""EN""), """")"),"")</f>
        <v/>
      </c>
      <c r="G757" s="5" t="str">
        <f>IFERROR(__xludf.DUMMYFUNCTION("IF(R757&lt;&gt;"""", GOOGLETRANSLATE(R757, ""RO"", ""EN""), """")"),"")</f>
        <v/>
      </c>
      <c r="H757" s="5" t="str">
        <f>IFERROR(__xludf.DUMMYFUNCTION("IF(U757&lt;&gt;"""", GOOGLETRANSLATE(U757, ""RO"", ""EN""), """")"),"")</f>
        <v/>
      </c>
      <c r="I757" s="5" t="str">
        <f>IFERROR(__xludf.DUMMYFUNCTION("IF(V757&lt;&gt;"""", GOOGLETRANSLATE(V757, ""RO"", ""EN""), """")"),"")</f>
        <v/>
      </c>
      <c r="J757" s="5" t="str">
        <f>IFERROR(__xludf.DUMMYFUNCTION("IF(W757&lt;&gt;"""", GOOGLETRANSLATE(W757, ""RO"", ""EN""), """")"),"")</f>
        <v/>
      </c>
      <c r="K757" s="5" t="str">
        <f>IFERROR(__xludf.DUMMYFUNCTION("IF(X757&lt;&gt;"""", GOOGLETRANSLATE(X757, ""RO"", ""EN""), """")"),"")</f>
        <v/>
      </c>
      <c r="L757" s="5" t="str">
        <f>IFERROR(__xludf.DUMMYFUNCTION("IF(S757&lt;&gt;"""", GOOGLETRANSLATE(S757, ""RO"", ""EN""), """")"),"")</f>
        <v/>
      </c>
      <c r="M757" s="5" t="str">
        <f>IFERROR(__xludf.DUMMYFUNCTION("IF(T757&lt;&gt;"""", GOOGLETRANSLATE(T757, ""RO"", ""EN""), """")"),"")</f>
        <v/>
      </c>
      <c r="N757" s="5" t="str">
        <f>IFERROR(__xludf.DUMMYFUNCTION("IF(Y757&lt;&gt;"""", GOOGLETRANSLATE(Y757, ""RO"", ""EN""), """")"),"")</f>
        <v/>
      </c>
      <c r="O757" s="4" t="s">
        <v>76</v>
      </c>
      <c r="P757" s="4" t="s">
        <v>77</v>
      </c>
    </row>
    <row r="758" ht="15.75" customHeight="1">
      <c r="A758" s="4" t="s">
        <v>2036</v>
      </c>
      <c r="B758" s="4" t="s">
        <v>2037</v>
      </c>
      <c r="C758" s="4" t="str">
        <f>IFERROR(__xludf.DUMMYFUNCTION("GOOGLETRANSLATE(B758, ""RO"", ""EN"")"),"Statement 1 - W1 - Going abroad after 1989")</f>
        <v>Statement 1 - W1 - Going abroad after 1989</v>
      </c>
      <c r="D758" s="5" t="str">
        <f>IFERROR(__xludf.DUMMYFUNCTION("IF(O758&lt;&gt;"""", GOOGLETRANSLATE(O758, ""RO"", ""EN""), """")"),"not")</f>
        <v>not</v>
      </c>
      <c r="E758" s="6" t="str">
        <f>IFERROR(__xludf.DUMMYFUNCTION("IF(P758&lt;&gt;"""", GOOGLETRANSLATE(P758, ""RO"", ""EN""), """")"),"Yes")</f>
        <v>Yes</v>
      </c>
      <c r="F758" s="5" t="str">
        <f>IFERROR(__xludf.DUMMYFUNCTION("IF(Q758&lt;&gt;"""", GOOGLETRANSLATE(Q758, ""RO"", ""EN""), """")"),"")</f>
        <v/>
      </c>
      <c r="G758" s="5" t="str">
        <f>IFERROR(__xludf.DUMMYFUNCTION("IF(R758&lt;&gt;"""", GOOGLETRANSLATE(R758, ""RO"", ""EN""), """")"),"")</f>
        <v/>
      </c>
      <c r="H758" s="5" t="str">
        <f>IFERROR(__xludf.DUMMYFUNCTION("IF(U758&lt;&gt;"""", GOOGLETRANSLATE(U758, ""RO"", ""EN""), """")"),"")</f>
        <v/>
      </c>
      <c r="I758" s="5" t="str">
        <f>IFERROR(__xludf.DUMMYFUNCTION("IF(V758&lt;&gt;"""", GOOGLETRANSLATE(V758, ""RO"", ""EN""), """")"),"")</f>
        <v/>
      </c>
      <c r="J758" s="5" t="str">
        <f>IFERROR(__xludf.DUMMYFUNCTION("IF(W758&lt;&gt;"""", GOOGLETRANSLATE(W758, ""RO"", ""EN""), """")"),"")</f>
        <v/>
      </c>
      <c r="K758" s="5" t="str">
        <f>IFERROR(__xludf.DUMMYFUNCTION("IF(X758&lt;&gt;"""", GOOGLETRANSLATE(X758, ""RO"", ""EN""), """")"),"")</f>
        <v/>
      </c>
      <c r="L758" s="5" t="str">
        <f>IFERROR(__xludf.DUMMYFUNCTION("IF(S758&lt;&gt;"""", GOOGLETRANSLATE(S758, ""RO"", ""EN""), """")"),"")</f>
        <v/>
      </c>
      <c r="M758" s="5" t="str">
        <f>IFERROR(__xludf.DUMMYFUNCTION("IF(T758&lt;&gt;"""", GOOGLETRANSLATE(T758, ""RO"", ""EN""), """")"),"")</f>
        <v/>
      </c>
      <c r="N758" s="5" t="str">
        <f>IFERROR(__xludf.DUMMYFUNCTION("IF(Y758&lt;&gt;"""", GOOGLETRANSLATE(Y758, ""RO"", ""EN""), """")"),"")</f>
        <v/>
      </c>
      <c r="O758" s="4" t="s">
        <v>76</v>
      </c>
      <c r="P758" s="4" t="s">
        <v>77</v>
      </c>
    </row>
    <row r="759" ht="15.75" customHeight="1">
      <c r="A759" s="4" t="s">
        <v>2038</v>
      </c>
      <c r="B759" s="4" t="s">
        <v>2039</v>
      </c>
      <c r="C759" s="4" t="str">
        <f>IFERROR(__xludf.DUMMYFUNCTION("GOOGLETRANSLATE(B759, ""RO"", ""EN"")"),"Statement 2 - W1 - at least once a month at the church")</f>
        <v>Statement 2 - W1 - at least once a month at the church</v>
      </c>
      <c r="D759" s="5" t="str">
        <f>IFERROR(__xludf.DUMMYFUNCTION("IF(O759&lt;&gt;"""", GOOGLETRANSLATE(O759, ""RO"", ""EN""), """")"),"not")</f>
        <v>not</v>
      </c>
      <c r="E759" s="6" t="str">
        <f>IFERROR(__xludf.DUMMYFUNCTION("IF(P759&lt;&gt;"""", GOOGLETRANSLATE(P759, ""RO"", ""EN""), """")"),"Yes")</f>
        <v>Yes</v>
      </c>
      <c r="F759" s="5" t="str">
        <f>IFERROR(__xludf.DUMMYFUNCTION("IF(Q759&lt;&gt;"""", GOOGLETRANSLATE(Q759, ""RO"", ""EN""), """")"),"")</f>
        <v/>
      </c>
      <c r="G759" s="5" t="str">
        <f>IFERROR(__xludf.DUMMYFUNCTION("IF(R759&lt;&gt;"""", GOOGLETRANSLATE(R759, ""RO"", ""EN""), """")"),"")</f>
        <v/>
      </c>
      <c r="H759" s="5" t="str">
        <f>IFERROR(__xludf.DUMMYFUNCTION("IF(U759&lt;&gt;"""", GOOGLETRANSLATE(U759, ""RO"", ""EN""), """")"),"")</f>
        <v/>
      </c>
      <c r="I759" s="5" t="str">
        <f>IFERROR(__xludf.DUMMYFUNCTION("IF(V759&lt;&gt;"""", GOOGLETRANSLATE(V759, ""RO"", ""EN""), """")"),"")</f>
        <v/>
      </c>
      <c r="J759" s="5" t="str">
        <f>IFERROR(__xludf.DUMMYFUNCTION("IF(W759&lt;&gt;"""", GOOGLETRANSLATE(W759, ""RO"", ""EN""), """")"),"")</f>
        <v/>
      </c>
      <c r="K759" s="5" t="str">
        <f>IFERROR(__xludf.DUMMYFUNCTION("IF(X759&lt;&gt;"""", GOOGLETRANSLATE(X759, ""RO"", ""EN""), """")"),"")</f>
        <v/>
      </c>
      <c r="L759" s="5" t="str">
        <f>IFERROR(__xludf.DUMMYFUNCTION("IF(S759&lt;&gt;"""", GOOGLETRANSLATE(S759, ""RO"", ""EN""), """")"),"")</f>
        <v/>
      </c>
      <c r="M759" s="5" t="str">
        <f>IFERROR(__xludf.DUMMYFUNCTION("IF(T759&lt;&gt;"""", GOOGLETRANSLATE(T759, ""RO"", ""EN""), """")"),"")</f>
        <v/>
      </c>
      <c r="N759" s="5" t="str">
        <f>IFERROR(__xludf.DUMMYFUNCTION("IF(Y759&lt;&gt;"""", GOOGLETRANSLATE(Y759, ""RO"", ""EN""), """")"),"")</f>
        <v/>
      </c>
      <c r="O759" s="4" t="s">
        <v>76</v>
      </c>
      <c r="P759" s="4" t="s">
        <v>77</v>
      </c>
    </row>
    <row r="760" ht="15.75" customHeight="1">
      <c r="A760" s="4" t="s">
        <v>2040</v>
      </c>
      <c r="B760" s="4" t="s">
        <v>2041</v>
      </c>
      <c r="C760" s="4" t="str">
        <f>IFERROR(__xludf.DUMMYFUNCTION("GOOGLETRANSLATE(B760, ""RO"", ""EN"")"),"Statement 3 - W1 - PC user")</f>
        <v>Statement 3 - W1 - PC user</v>
      </c>
      <c r="D760" s="5" t="str">
        <f>IFERROR(__xludf.DUMMYFUNCTION("IF(O760&lt;&gt;"""", GOOGLETRANSLATE(O760, ""RO"", ""EN""), """")"),"not")</f>
        <v>not</v>
      </c>
      <c r="E760" s="6" t="str">
        <f>IFERROR(__xludf.DUMMYFUNCTION("IF(P760&lt;&gt;"""", GOOGLETRANSLATE(P760, ""RO"", ""EN""), """")"),"Yes")</f>
        <v>Yes</v>
      </c>
      <c r="F760" s="5" t="str">
        <f>IFERROR(__xludf.DUMMYFUNCTION("IF(Q760&lt;&gt;"""", GOOGLETRANSLATE(Q760, ""RO"", ""EN""), """")"),"")</f>
        <v/>
      </c>
      <c r="G760" s="5" t="str">
        <f>IFERROR(__xludf.DUMMYFUNCTION("IF(R760&lt;&gt;"""", GOOGLETRANSLATE(R760, ""RO"", ""EN""), """")"),"")</f>
        <v/>
      </c>
      <c r="H760" s="5" t="str">
        <f>IFERROR(__xludf.DUMMYFUNCTION("IF(U760&lt;&gt;"""", GOOGLETRANSLATE(U760, ""RO"", ""EN""), """")"),"")</f>
        <v/>
      </c>
      <c r="I760" s="5" t="str">
        <f>IFERROR(__xludf.DUMMYFUNCTION("IF(V760&lt;&gt;"""", GOOGLETRANSLATE(V760, ""RO"", ""EN""), """")"),"")</f>
        <v/>
      </c>
      <c r="J760" s="5" t="str">
        <f>IFERROR(__xludf.DUMMYFUNCTION("IF(W760&lt;&gt;"""", GOOGLETRANSLATE(W760, ""RO"", ""EN""), """")"),"")</f>
        <v/>
      </c>
      <c r="K760" s="5" t="str">
        <f>IFERROR(__xludf.DUMMYFUNCTION("IF(X760&lt;&gt;"""", GOOGLETRANSLATE(X760, ""RO"", ""EN""), """")"),"")</f>
        <v/>
      </c>
      <c r="L760" s="5" t="str">
        <f>IFERROR(__xludf.DUMMYFUNCTION("IF(S760&lt;&gt;"""", GOOGLETRANSLATE(S760, ""RO"", ""EN""), """")"),"")</f>
        <v/>
      </c>
      <c r="M760" s="5" t="str">
        <f>IFERROR(__xludf.DUMMYFUNCTION("IF(T760&lt;&gt;"""", GOOGLETRANSLATE(T760, ""RO"", ""EN""), """")"),"")</f>
        <v/>
      </c>
      <c r="N760" s="5" t="str">
        <f>IFERROR(__xludf.DUMMYFUNCTION("IF(Y760&lt;&gt;"""", GOOGLETRANSLATE(Y760, ""RO"", ""EN""), """")"),"")</f>
        <v/>
      </c>
      <c r="O760" s="4" t="s">
        <v>76</v>
      </c>
      <c r="P760" s="4" t="s">
        <v>77</v>
      </c>
    </row>
    <row r="761" ht="15.75" customHeight="1">
      <c r="A761" s="4" t="s">
        <v>2042</v>
      </c>
      <c r="B761" s="4" t="s">
        <v>2043</v>
      </c>
      <c r="C761" s="4" t="str">
        <f>IFERROR(__xludf.DUMMYFUNCTION("GOOGLETRANSLATE(B761, ""RO"", ""EN"")"),"Statements 123 - W1 - No of Yes")</f>
        <v>Statements 123 - W1 - No of Yes</v>
      </c>
      <c r="D761" s="5" t="str">
        <f>IFERROR(__xludf.DUMMYFUNCTION("IF(O761&lt;&gt;"""", GOOGLETRANSLATE(O761, ""RO"", ""EN""), """")"),"")</f>
        <v/>
      </c>
      <c r="E761" s="6" t="str">
        <f>IFERROR(__xludf.DUMMYFUNCTION("IF(P761&lt;&gt;"""", GOOGLETRANSLATE(P761, ""RO"", ""EN""), """")"),"")</f>
        <v/>
      </c>
      <c r="F761" s="5" t="str">
        <f>IFERROR(__xludf.DUMMYFUNCTION("IF(Q761&lt;&gt;"""", GOOGLETRANSLATE(Q761, ""RO"", ""EN""), """")"),"")</f>
        <v/>
      </c>
      <c r="G761" s="5" t="str">
        <f>IFERROR(__xludf.DUMMYFUNCTION("IF(R761&lt;&gt;"""", GOOGLETRANSLATE(R761, ""RO"", ""EN""), """")"),"")</f>
        <v/>
      </c>
      <c r="H761" s="5" t="str">
        <f>IFERROR(__xludf.DUMMYFUNCTION("IF(U761&lt;&gt;"""", GOOGLETRANSLATE(U761, ""RO"", ""EN""), """")"),"")</f>
        <v/>
      </c>
      <c r="I761" s="5" t="str">
        <f>IFERROR(__xludf.DUMMYFUNCTION("IF(V761&lt;&gt;"""", GOOGLETRANSLATE(V761, ""RO"", ""EN""), """")"),"")</f>
        <v/>
      </c>
      <c r="J761" s="5" t="str">
        <f>IFERROR(__xludf.DUMMYFUNCTION("IF(W761&lt;&gt;"""", GOOGLETRANSLATE(W761, ""RO"", ""EN""), """")"),"")</f>
        <v/>
      </c>
      <c r="K761" s="5" t="str">
        <f>IFERROR(__xludf.DUMMYFUNCTION("IF(X761&lt;&gt;"""", GOOGLETRANSLATE(X761, ""RO"", ""EN""), """")"),"")</f>
        <v/>
      </c>
      <c r="L761" s="5" t="str">
        <f>IFERROR(__xludf.DUMMYFUNCTION("IF(S761&lt;&gt;"""", GOOGLETRANSLATE(S761, ""RO"", ""EN""), """")"),"")</f>
        <v/>
      </c>
      <c r="M761" s="5" t="str">
        <f>IFERROR(__xludf.DUMMYFUNCTION("IF(T761&lt;&gt;"""", GOOGLETRANSLATE(T761, ""RO"", ""EN""), """")"),"")</f>
        <v/>
      </c>
      <c r="N761" s="5" t="str">
        <f>IFERROR(__xludf.DUMMYFUNCTION("IF(Y761&lt;&gt;"""", GOOGLETRANSLATE(Y761, ""RO"", ""EN""), """")"),"")</f>
        <v/>
      </c>
    </row>
    <row r="762" ht="15.75" customHeight="1">
      <c r="A762" s="4" t="s">
        <v>2044</v>
      </c>
      <c r="B762" s="4" t="s">
        <v>2045</v>
      </c>
      <c r="C762" s="4" t="str">
        <f>IFERROR(__xludf.DUMMYFUNCTION("GOOGLETRANSLATE(B762, ""RO"", ""EN"")"),"Statement 4 - voted on on 2009")</f>
        <v>Statement 4 - voted on on 2009</v>
      </c>
      <c r="D762" s="5" t="str">
        <f>IFERROR(__xludf.DUMMYFUNCTION("IF(O762&lt;&gt;"""", GOOGLETRANSLATE(O762, ""RO"", ""EN""), """")"),"not")</f>
        <v>not</v>
      </c>
      <c r="E762" s="6" t="str">
        <f>IFERROR(__xludf.DUMMYFUNCTION("IF(P762&lt;&gt;"""", GOOGLETRANSLATE(P762, ""RO"", ""EN""), """")"),"Yes")</f>
        <v>Yes</v>
      </c>
      <c r="F762" s="5" t="str">
        <f>IFERROR(__xludf.DUMMYFUNCTION("IF(Q762&lt;&gt;"""", GOOGLETRANSLATE(Q762, ""RO"", ""EN""), """")"),"")</f>
        <v/>
      </c>
      <c r="G762" s="5" t="str">
        <f>IFERROR(__xludf.DUMMYFUNCTION("IF(R762&lt;&gt;"""", GOOGLETRANSLATE(R762, ""RO"", ""EN""), """")"),"")</f>
        <v/>
      </c>
      <c r="H762" s="5" t="str">
        <f>IFERROR(__xludf.DUMMYFUNCTION("IF(U762&lt;&gt;"""", GOOGLETRANSLATE(U762, ""RO"", ""EN""), """")"),"")</f>
        <v/>
      </c>
      <c r="I762" s="5" t="str">
        <f>IFERROR(__xludf.DUMMYFUNCTION("IF(V762&lt;&gt;"""", GOOGLETRANSLATE(V762, ""RO"", ""EN""), """")"),"")</f>
        <v/>
      </c>
      <c r="J762" s="5" t="str">
        <f>IFERROR(__xludf.DUMMYFUNCTION("IF(W762&lt;&gt;"""", GOOGLETRANSLATE(W762, ""RO"", ""EN""), """")"),"")</f>
        <v/>
      </c>
      <c r="K762" s="5" t="str">
        <f>IFERROR(__xludf.DUMMYFUNCTION("IF(X762&lt;&gt;"""", GOOGLETRANSLATE(X762, ""RO"", ""EN""), """")"),"")</f>
        <v/>
      </c>
      <c r="L762" s="5" t="str">
        <f>IFERROR(__xludf.DUMMYFUNCTION("IF(S762&lt;&gt;"""", GOOGLETRANSLATE(S762, ""RO"", ""EN""), """")"),"")</f>
        <v/>
      </c>
      <c r="M762" s="5" t="str">
        <f>IFERROR(__xludf.DUMMYFUNCTION("IF(T762&lt;&gt;"""", GOOGLETRANSLATE(T762, ""RO"", ""EN""), """")"),"")</f>
        <v/>
      </c>
      <c r="N762" s="5" t="str">
        <f>IFERROR(__xludf.DUMMYFUNCTION("IF(Y762&lt;&gt;"""", GOOGLETRANSLATE(Y762, ""RO"", ""EN""), """")"),"")</f>
        <v/>
      </c>
      <c r="O762" s="4" t="s">
        <v>76</v>
      </c>
      <c r="P762" s="4" t="s">
        <v>77</v>
      </c>
    </row>
    <row r="763" ht="15.75" customHeight="1">
      <c r="A763" s="4" t="s">
        <v>2046</v>
      </c>
      <c r="B763" s="4" t="s">
        <v>2047</v>
      </c>
      <c r="C763" s="4" t="str">
        <f>IFERROR(__xludf.DUMMYFUNCTION("GOOGLETRANSLATE(B763, ""RO"", ""EN"")"),"Group Type")</f>
        <v>Group Type</v>
      </c>
      <c r="D763" s="5" t="str">
        <f>IFERROR(__xludf.DUMMYFUNCTION("IF(O763&lt;&gt;"""", GOOGLETRANSLATE(O763, ""RO"", ""EN""), """")"),"")</f>
        <v/>
      </c>
      <c r="E763" s="6" t="str">
        <f>IFERROR(__xludf.DUMMYFUNCTION("IF(P763&lt;&gt;"""", GOOGLETRANSLATE(P763, ""RO"", ""EN""), """")"),"control")</f>
        <v>control</v>
      </c>
      <c r="F763" s="5" t="str">
        <f>IFERROR(__xludf.DUMMYFUNCTION("IF(Q763&lt;&gt;"""", GOOGLETRANSLATE(Q763, ""RO"", ""EN""), """")"),"Treatment")</f>
        <v>Treatment</v>
      </c>
      <c r="G763" s="5" t="str">
        <f>IFERROR(__xludf.DUMMYFUNCTION("IF(R763&lt;&gt;"""", GOOGLETRANSLATE(R763, ""RO"", ""EN""), """")"),"")</f>
        <v/>
      </c>
      <c r="H763" s="5" t="str">
        <f>IFERROR(__xludf.DUMMYFUNCTION("IF(U763&lt;&gt;"""", GOOGLETRANSLATE(U763, ""RO"", ""EN""), """")"),"")</f>
        <v/>
      </c>
      <c r="I763" s="5" t="str">
        <f>IFERROR(__xludf.DUMMYFUNCTION("IF(V763&lt;&gt;"""", GOOGLETRANSLATE(V763, ""RO"", ""EN""), """")"),"")</f>
        <v/>
      </c>
      <c r="J763" s="5" t="str">
        <f>IFERROR(__xludf.DUMMYFUNCTION("IF(W763&lt;&gt;"""", GOOGLETRANSLATE(W763, ""RO"", ""EN""), """")"),"")</f>
        <v/>
      </c>
      <c r="K763" s="5" t="str">
        <f>IFERROR(__xludf.DUMMYFUNCTION("IF(X763&lt;&gt;"""", GOOGLETRANSLATE(X763, ""RO"", ""EN""), """")"),"")</f>
        <v/>
      </c>
      <c r="L763" s="5" t="str">
        <f>IFERROR(__xludf.DUMMYFUNCTION("IF(S763&lt;&gt;"""", GOOGLETRANSLATE(S763, ""RO"", ""EN""), """")"),"")</f>
        <v/>
      </c>
      <c r="M763" s="5" t="str">
        <f>IFERROR(__xludf.DUMMYFUNCTION("IF(T763&lt;&gt;"""", GOOGLETRANSLATE(T763, ""RO"", ""EN""), """")"),"")</f>
        <v/>
      </c>
      <c r="N763" s="5" t="str">
        <f>IFERROR(__xludf.DUMMYFUNCTION("IF(Y763&lt;&gt;"""", GOOGLETRANSLATE(Y763, ""RO"", ""EN""), """")"),"")</f>
        <v/>
      </c>
      <c r="P763" s="4" t="s">
        <v>2048</v>
      </c>
      <c r="Q763" s="4" t="s">
        <v>2049</v>
      </c>
    </row>
    <row r="764" ht="15.75" customHeight="1">
      <c r="A764" s="4" t="s">
        <v>2050</v>
      </c>
      <c r="B764" s="4" t="s">
        <v>2051</v>
      </c>
      <c r="C764" s="4" t="str">
        <f>IFERROR(__xludf.DUMMYFUNCTION("GOOGLETRANSLATE(B764, ""RO"", ""EN"")"),"Control Group - No of Yes")</f>
        <v>Control Group - No of Yes</v>
      </c>
      <c r="D764" s="5" t="str">
        <f>IFERROR(__xludf.DUMMYFUNCTION("IF(O764&lt;&gt;"""", GOOGLETRANSLATE(O764, ""RO"", ""EN""), """")"),"")</f>
        <v/>
      </c>
      <c r="E764" s="6" t="str">
        <f>IFERROR(__xludf.DUMMYFUNCTION("IF(P764&lt;&gt;"""", GOOGLETRANSLATE(P764, ""RO"", ""EN""), """")"),"")</f>
        <v/>
      </c>
      <c r="F764" s="5" t="str">
        <f>IFERROR(__xludf.DUMMYFUNCTION("IF(Q764&lt;&gt;"""", GOOGLETRANSLATE(Q764, ""RO"", ""EN""), """")"),"")</f>
        <v/>
      </c>
      <c r="G764" s="5" t="str">
        <f>IFERROR(__xludf.DUMMYFUNCTION("IF(R764&lt;&gt;"""", GOOGLETRANSLATE(R764, ""RO"", ""EN""), """")"),"")</f>
        <v/>
      </c>
      <c r="H764" s="5" t="str">
        <f>IFERROR(__xludf.DUMMYFUNCTION("IF(U764&lt;&gt;"""", GOOGLETRANSLATE(U764, ""RO"", ""EN""), """")"),"")</f>
        <v/>
      </c>
      <c r="I764" s="5" t="str">
        <f>IFERROR(__xludf.DUMMYFUNCTION("IF(V764&lt;&gt;"""", GOOGLETRANSLATE(V764, ""RO"", ""EN""), """")"),"")</f>
        <v/>
      </c>
      <c r="J764" s="5" t="str">
        <f>IFERROR(__xludf.DUMMYFUNCTION("IF(W764&lt;&gt;"""", GOOGLETRANSLATE(W764, ""RO"", ""EN""), """")"),"")</f>
        <v/>
      </c>
      <c r="K764" s="5" t="str">
        <f>IFERROR(__xludf.DUMMYFUNCTION("IF(X764&lt;&gt;"""", GOOGLETRANSLATE(X764, ""RO"", ""EN""), """")"),"")</f>
        <v/>
      </c>
      <c r="L764" s="5" t="str">
        <f>IFERROR(__xludf.DUMMYFUNCTION("IF(S764&lt;&gt;"""", GOOGLETRANSLATE(S764, ""RO"", ""EN""), """")"),"Ns")</f>
        <v>Ns</v>
      </c>
      <c r="M764" s="5" t="str">
        <f>IFERROR(__xludf.DUMMYFUNCTION("IF(T764&lt;&gt;"""", GOOGLETRANSLATE(T764, ""RO"", ""EN""), """")"),"No.")</f>
        <v>No.</v>
      </c>
      <c r="N764" s="5" t="str">
        <f>IFERROR(__xludf.DUMMYFUNCTION("IF(Y764&lt;&gt;"""", GOOGLETRANSLATE(Y764, ""RO"", ""EN""), """")"),"")</f>
        <v/>
      </c>
      <c r="S764" s="4" t="s">
        <v>103</v>
      </c>
      <c r="T764" s="4" t="s">
        <v>104</v>
      </c>
    </row>
    <row r="765" ht="15.75" customHeight="1">
      <c r="A765" s="4" t="s">
        <v>2052</v>
      </c>
      <c r="B765" s="4" t="s">
        <v>2053</v>
      </c>
      <c r="C765" s="4" t="str">
        <f>IFERROR(__xludf.DUMMYFUNCTION("GOOGLETRANSLATE(B765, ""RO"", ""EN"")"),"Treatement Group - No of Yes")</f>
        <v>Treatement Group - No of Yes</v>
      </c>
      <c r="D765" s="5" t="str">
        <f>IFERROR(__xludf.DUMMYFUNCTION("IF(O765&lt;&gt;"""", GOOGLETRANSLATE(O765, ""RO"", ""EN""), """")"),"")</f>
        <v/>
      </c>
      <c r="E765" s="6" t="str">
        <f>IFERROR(__xludf.DUMMYFUNCTION("IF(P765&lt;&gt;"""", GOOGLETRANSLATE(P765, ""RO"", ""EN""), """")"),"")</f>
        <v/>
      </c>
      <c r="F765" s="5" t="str">
        <f>IFERROR(__xludf.DUMMYFUNCTION("IF(Q765&lt;&gt;"""", GOOGLETRANSLATE(Q765, ""RO"", ""EN""), """")"),"")</f>
        <v/>
      </c>
      <c r="G765" s="5" t="str">
        <f>IFERROR(__xludf.DUMMYFUNCTION("IF(R765&lt;&gt;"""", GOOGLETRANSLATE(R765, ""RO"", ""EN""), """")"),"")</f>
        <v/>
      </c>
      <c r="H765" s="5" t="str">
        <f>IFERROR(__xludf.DUMMYFUNCTION("IF(U765&lt;&gt;"""", GOOGLETRANSLATE(U765, ""RO"", ""EN""), """")"),"")</f>
        <v/>
      </c>
      <c r="I765" s="5" t="str">
        <f>IFERROR(__xludf.DUMMYFUNCTION("IF(V765&lt;&gt;"""", GOOGLETRANSLATE(V765, ""RO"", ""EN""), """")"),"")</f>
        <v/>
      </c>
      <c r="J765" s="5" t="str">
        <f>IFERROR(__xludf.DUMMYFUNCTION("IF(W765&lt;&gt;"""", GOOGLETRANSLATE(W765, ""RO"", ""EN""), """")"),"")</f>
        <v/>
      </c>
      <c r="K765" s="5" t="str">
        <f>IFERROR(__xludf.DUMMYFUNCTION("IF(X765&lt;&gt;"""", GOOGLETRANSLATE(X765, ""RO"", ""EN""), """")"),"")</f>
        <v/>
      </c>
      <c r="L765" s="5" t="str">
        <f>IFERROR(__xludf.DUMMYFUNCTION("IF(S765&lt;&gt;"""", GOOGLETRANSLATE(S765, ""RO"", ""EN""), """")"),"Ns")</f>
        <v>Ns</v>
      </c>
      <c r="M765" s="5" t="str">
        <f>IFERROR(__xludf.DUMMYFUNCTION("IF(T765&lt;&gt;"""", GOOGLETRANSLATE(T765, ""RO"", ""EN""), """")"),"No.")</f>
        <v>No.</v>
      </c>
      <c r="N765" s="5" t="str">
        <f>IFERROR(__xludf.DUMMYFUNCTION("IF(Y765&lt;&gt;"""", GOOGLETRANSLATE(Y765, ""RO"", ""EN""), """")"),"")</f>
        <v/>
      </c>
      <c r="S765" s="4" t="s">
        <v>103</v>
      </c>
      <c r="T765" s="4" t="s">
        <v>104</v>
      </c>
    </row>
    <row r="766" ht="15.75" customHeight="1">
      <c r="A766" s="4" t="s">
        <v>2054</v>
      </c>
      <c r="B766" s="4" t="s">
        <v>2055</v>
      </c>
      <c r="C766" s="4" t="str">
        <f>IFERROR(__xludf.DUMMYFUNCTION("GOOGLETRANSLATE(B766, ""RO"", ""EN"")"),"Pw3 = 1 (filter)")</f>
        <v>Pw3 = 1 (filter)</v>
      </c>
      <c r="D766" s="5" t="str">
        <f>IFERROR(__xludf.DUMMYFUNCTION("IF(O766&lt;&gt;"""", GOOGLETRANSLATE(O766, ""RO"", ""EN""), """")"),"Not select")</f>
        <v>Not select</v>
      </c>
      <c r="E766" s="6" t="str">
        <f>IFERROR(__xludf.DUMMYFUNCTION("IF(P766&lt;&gt;"""", GOOGLETRANSLATE(P766, ""RO"", ""EN""), """")"),"Selected")</f>
        <v>Selected</v>
      </c>
      <c r="F766" s="5" t="str">
        <f>IFERROR(__xludf.DUMMYFUNCTION("IF(Q766&lt;&gt;"""", GOOGLETRANSLATE(Q766, ""RO"", ""EN""), """")"),"")</f>
        <v/>
      </c>
      <c r="G766" s="5" t="str">
        <f>IFERROR(__xludf.DUMMYFUNCTION("IF(R766&lt;&gt;"""", GOOGLETRANSLATE(R766, ""RO"", ""EN""), """")"),"")</f>
        <v/>
      </c>
      <c r="H766" s="5" t="str">
        <f>IFERROR(__xludf.DUMMYFUNCTION("IF(U766&lt;&gt;"""", GOOGLETRANSLATE(U766, ""RO"", ""EN""), """")"),"")</f>
        <v/>
      </c>
      <c r="I766" s="5" t="str">
        <f>IFERROR(__xludf.DUMMYFUNCTION("IF(V766&lt;&gt;"""", GOOGLETRANSLATE(V766, ""RO"", ""EN""), """")"),"")</f>
        <v/>
      </c>
      <c r="J766" s="5" t="str">
        <f>IFERROR(__xludf.DUMMYFUNCTION("IF(W766&lt;&gt;"""", GOOGLETRANSLATE(W766, ""RO"", ""EN""), """")"),"")</f>
        <v/>
      </c>
      <c r="K766" s="5" t="str">
        <f>IFERROR(__xludf.DUMMYFUNCTION("IF(X766&lt;&gt;"""", GOOGLETRANSLATE(X766, ""RO"", ""EN""), """")"),"")</f>
        <v/>
      </c>
      <c r="L766" s="5" t="str">
        <f>IFERROR(__xludf.DUMMYFUNCTION("IF(S766&lt;&gt;"""", GOOGLETRANSLATE(S766, ""RO"", ""EN""), """")"),"")</f>
        <v/>
      </c>
      <c r="M766" s="5" t="str">
        <f>IFERROR(__xludf.DUMMYFUNCTION("IF(T766&lt;&gt;"""", GOOGLETRANSLATE(T766, ""RO"", ""EN""), """")"),"")</f>
        <v/>
      </c>
      <c r="N766" s="5" t="str">
        <f>IFERROR(__xludf.DUMMYFUNCTION("IF(Y766&lt;&gt;"""", GOOGLETRANSLATE(Y766, ""RO"", ""EN""), """")"),"")</f>
        <v/>
      </c>
      <c r="O766" s="4" t="s">
        <v>2056</v>
      </c>
      <c r="P766" s="4" t="s">
        <v>2057</v>
      </c>
    </row>
    <row r="767" ht="15.75" customHeight="1">
      <c r="A767" s="4" t="s">
        <v>2058</v>
      </c>
      <c r="C767" s="4" t="str">
        <f>IFERROR(__xludf.DUMMYFUNCTION("GOOGLETRANSLATE(B767, ""RO"", ""EN"")"),"#VALUE!")</f>
        <v>#VALUE!</v>
      </c>
      <c r="D767" s="5" t="str">
        <f>IFERROR(__xludf.DUMMYFUNCTION("IF(O767&lt;&gt;"""", GOOGLETRANSLATE(O767, ""RO"", ""EN""), """")"),"")</f>
        <v/>
      </c>
      <c r="E767" s="6" t="str">
        <f>IFERROR(__xludf.DUMMYFUNCTION("IF(P767&lt;&gt;"""", GOOGLETRANSLATE(P767, ""RO"", ""EN""), """")"),"")</f>
        <v/>
      </c>
      <c r="F767" s="5" t="str">
        <f>IFERROR(__xludf.DUMMYFUNCTION("IF(Q767&lt;&gt;"""", GOOGLETRANSLATE(Q767, ""RO"", ""EN""), """")"),"")</f>
        <v/>
      </c>
      <c r="G767" s="5" t="str">
        <f>IFERROR(__xludf.DUMMYFUNCTION("IF(R767&lt;&gt;"""", GOOGLETRANSLATE(R767, ""RO"", ""EN""), """")"),"")</f>
        <v/>
      </c>
      <c r="H767" s="5" t="str">
        <f>IFERROR(__xludf.DUMMYFUNCTION("IF(U767&lt;&gt;"""", GOOGLETRANSLATE(U767, ""RO"", ""EN""), """")"),"")</f>
        <v/>
      </c>
      <c r="I767" s="5" t="str">
        <f>IFERROR(__xludf.DUMMYFUNCTION("IF(V767&lt;&gt;"""", GOOGLETRANSLATE(V767, ""RO"", ""EN""), """")"),"")</f>
        <v/>
      </c>
      <c r="J767" s="5" t="str">
        <f>IFERROR(__xludf.DUMMYFUNCTION("IF(W767&lt;&gt;"""", GOOGLETRANSLATE(W767, ""RO"", ""EN""), """")"),"")</f>
        <v/>
      </c>
      <c r="K767" s="5" t="str">
        <f>IFERROR(__xludf.DUMMYFUNCTION("IF(X767&lt;&gt;"""", GOOGLETRANSLATE(X767, ""RO"", ""EN""), """")"),"")</f>
        <v/>
      </c>
      <c r="L767" s="5" t="str">
        <f>IFERROR(__xludf.DUMMYFUNCTION("IF(S767&lt;&gt;"""", GOOGLETRANSLATE(S767, ""RO"", ""EN""), """")"),"")</f>
        <v/>
      </c>
      <c r="M767" s="5" t="str">
        <f>IFERROR(__xludf.DUMMYFUNCTION("IF(T767&lt;&gt;"""", GOOGLETRANSLATE(T767, ""RO"", ""EN""), """")"),"")</f>
        <v/>
      </c>
      <c r="N767" s="5" t="str">
        <f>IFERROR(__xludf.DUMMYFUNCTION("IF(Y767&lt;&gt;"""", GOOGLETRANSLATE(Y767, ""RO"", ""EN""), """")"),"")</f>
        <v/>
      </c>
    </row>
    <row r="768" ht="15.75" customHeight="1">
      <c r="A768" s="4" t="s">
        <v>2059</v>
      </c>
      <c r="B768" s="4" t="s">
        <v>168</v>
      </c>
      <c r="C768" s="4" t="str">
        <f>IFERROR(__xludf.DUMMYFUNCTION("GOOGLETRANSLATE(B768, ""RO"", ""EN"")"),"1")</f>
        <v>1</v>
      </c>
      <c r="D768" s="5" t="str">
        <f>IFERROR(__xludf.DUMMYFUNCTION("IF(O768&lt;&gt;"""", GOOGLETRANSLATE(O768, ""RO"", ""EN""), """")"),"")</f>
        <v/>
      </c>
      <c r="E768" s="6" t="str">
        <f>IFERROR(__xludf.DUMMYFUNCTION("IF(P768&lt;&gt;"""", GOOGLETRANSLATE(P768, ""RO"", ""EN""), """")"),"18-25")</f>
        <v>18-25</v>
      </c>
      <c r="F768" s="5" t="str">
        <f>IFERROR(__xludf.DUMMYFUNCTION("IF(Q768&lt;&gt;"""", GOOGLETRANSLATE(Q768, ""RO"", ""EN""), """")"),"26-40")</f>
        <v>26-40</v>
      </c>
      <c r="G768" s="5" t="str">
        <f>IFERROR(__xludf.DUMMYFUNCTION("IF(R768&lt;&gt;"""", GOOGLETRANSLATE(R768, ""RO"", ""EN""), """")"),"41-64")</f>
        <v>41-64</v>
      </c>
      <c r="H768" s="5" t="str">
        <f>IFERROR(__xludf.DUMMYFUNCTION("IF(U768&lt;&gt;"""", GOOGLETRANSLATE(U768, ""RO"", ""EN""), """")"),"65+")</f>
        <v>65+</v>
      </c>
      <c r="I768" s="5" t="str">
        <f>IFERROR(__xludf.DUMMYFUNCTION("IF(V768&lt;&gt;"""", GOOGLETRANSLATE(V768, ""RO"", ""EN""), """")"),"")</f>
        <v/>
      </c>
      <c r="J768" s="5" t="str">
        <f>IFERROR(__xludf.DUMMYFUNCTION("IF(W768&lt;&gt;"""", GOOGLETRANSLATE(W768, ""RO"", ""EN""), """")"),"")</f>
        <v/>
      </c>
      <c r="K768" s="5" t="str">
        <f>IFERROR(__xludf.DUMMYFUNCTION("IF(X768&lt;&gt;"""", GOOGLETRANSLATE(X768, ""RO"", ""EN""), """")"),"")</f>
        <v/>
      </c>
      <c r="L768" s="5" t="str">
        <f>IFERROR(__xludf.DUMMYFUNCTION("IF(S768&lt;&gt;"""", GOOGLETRANSLATE(S768, ""RO"", ""EN""), """")"),"")</f>
        <v/>
      </c>
      <c r="M768" s="5" t="str">
        <f>IFERROR(__xludf.DUMMYFUNCTION("IF(T768&lt;&gt;"""", GOOGLETRANSLATE(T768, ""RO"", ""EN""), """")"),"")</f>
        <v/>
      </c>
      <c r="N768" s="5" t="str">
        <f>IFERROR(__xludf.DUMMYFUNCTION("IF(Y768&lt;&gt;"""", GOOGLETRANSLATE(Y768, ""RO"", ""EN""), """")"),"")</f>
        <v/>
      </c>
      <c r="P768" s="4" t="s">
        <v>2060</v>
      </c>
      <c r="Q768" s="4" t="s">
        <v>2061</v>
      </c>
      <c r="R768" s="4" t="s">
        <v>2062</v>
      </c>
      <c r="U768" s="4" t="s">
        <v>2063</v>
      </c>
    </row>
    <row r="769" ht="15.75" customHeight="1">
      <c r="A769" s="4" t="s">
        <v>2059</v>
      </c>
      <c r="B769" s="4" t="s">
        <v>169</v>
      </c>
      <c r="C769" s="4" t="str">
        <f>IFERROR(__xludf.DUMMYFUNCTION("GOOGLETRANSLATE(B769, ""RO"", ""EN"")"),"2")</f>
        <v>2</v>
      </c>
      <c r="D769" s="5" t="str">
        <f>IFERROR(__xludf.DUMMYFUNCTION("IF(O769&lt;&gt;"""", GOOGLETRANSLATE(O769, ""RO"", ""EN""), """")"),"")</f>
        <v/>
      </c>
      <c r="E769" s="6" t="str">
        <f>IFERROR(__xludf.DUMMYFUNCTION("IF(P769&lt;&gt;"""", GOOGLETRANSLATE(P769, ""RO"", ""EN""), """")"),"18-25")</f>
        <v>18-25</v>
      </c>
      <c r="F769" s="5" t="str">
        <f>IFERROR(__xludf.DUMMYFUNCTION("IF(Q769&lt;&gt;"""", GOOGLETRANSLATE(Q769, ""RO"", ""EN""), """")"),"26-40")</f>
        <v>26-40</v>
      </c>
      <c r="G769" s="5" t="str">
        <f>IFERROR(__xludf.DUMMYFUNCTION("IF(R769&lt;&gt;"""", GOOGLETRANSLATE(R769, ""RO"", ""EN""), """")"),"41-64")</f>
        <v>41-64</v>
      </c>
      <c r="H769" s="5" t="str">
        <f>IFERROR(__xludf.DUMMYFUNCTION("IF(U769&lt;&gt;"""", GOOGLETRANSLATE(U769, ""RO"", ""EN""), """")"),"65+")</f>
        <v>65+</v>
      </c>
      <c r="I769" s="5" t="str">
        <f>IFERROR(__xludf.DUMMYFUNCTION("IF(V769&lt;&gt;"""", GOOGLETRANSLATE(V769, ""RO"", ""EN""), """")"),"")</f>
        <v/>
      </c>
      <c r="J769" s="5" t="str">
        <f>IFERROR(__xludf.DUMMYFUNCTION("IF(W769&lt;&gt;"""", GOOGLETRANSLATE(W769, ""RO"", ""EN""), """")"),"")</f>
        <v/>
      </c>
      <c r="K769" s="5" t="str">
        <f>IFERROR(__xludf.DUMMYFUNCTION("IF(X769&lt;&gt;"""", GOOGLETRANSLATE(X769, ""RO"", ""EN""), """")"),"")</f>
        <v/>
      </c>
      <c r="L769" s="5" t="str">
        <f>IFERROR(__xludf.DUMMYFUNCTION("IF(S769&lt;&gt;"""", GOOGLETRANSLATE(S769, ""RO"", ""EN""), """")"),"")</f>
        <v/>
      </c>
      <c r="M769" s="5" t="str">
        <f>IFERROR(__xludf.DUMMYFUNCTION("IF(T769&lt;&gt;"""", GOOGLETRANSLATE(T769, ""RO"", ""EN""), """")"),"")</f>
        <v/>
      </c>
      <c r="N769" s="5" t="str">
        <f>IFERROR(__xludf.DUMMYFUNCTION("IF(Y769&lt;&gt;"""", GOOGLETRANSLATE(Y769, ""RO"", ""EN""), """")"),"")</f>
        <v/>
      </c>
      <c r="P769" s="4" t="s">
        <v>2060</v>
      </c>
      <c r="Q769" s="4" t="s">
        <v>2061</v>
      </c>
      <c r="R769" s="4" t="s">
        <v>2062</v>
      </c>
      <c r="U769" s="4" t="s">
        <v>2063</v>
      </c>
    </row>
    <row r="770" ht="15.75" customHeight="1">
      <c r="A770" s="4" t="s">
        <v>2059</v>
      </c>
      <c r="B770" s="4" t="s">
        <v>170</v>
      </c>
      <c r="C770" s="4" t="str">
        <f>IFERROR(__xludf.DUMMYFUNCTION("GOOGLETRANSLATE(B770, ""RO"", ""EN"")"),"3")</f>
        <v>3</v>
      </c>
      <c r="D770" s="5" t="str">
        <f>IFERROR(__xludf.DUMMYFUNCTION("IF(O770&lt;&gt;"""", GOOGLETRANSLATE(O770, ""RO"", ""EN""), """")"),"")</f>
        <v/>
      </c>
      <c r="E770" s="6" t="str">
        <f>IFERROR(__xludf.DUMMYFUNCTION("IF(P770&lt;&gt;"""", GOOGLETRANSLATE(P770, ""RO"", ""EN""), """")"),"18-25")</f>
        <v>18-25</v>
      </c>
      <c r="F770" s="5" t="str">
        <f>IFERROR(__xludf.DUMMYFUNCTION("IF(Q770&lt;&gt;"""", GOOGLETRANSLATE(Q770, ""RO"", ""EN""), """")"),"26-40")</f>
        <v>26-40</v>
      </c>
      <c r="G770" s="5" t="str">
        <f>IFERROR(__xludf.DUMMYFUNCTION("IF(R770&lt;&gt;"""", GOOGLETRANSLATE(R770, ""RO"", ""EN""), """")"),"41-64")</f>
        <v>41-64</v>
      </c>
      <c r="H770" s="5" t="str">
        <f>IFERROR(__xludf.DUMMYFUNCTION("IF(U770&lt;&gt;"""", GOOGLETRANSLATE(U770, ""RO"", ""EN""), """")"),"65+")</f>
        <v>65+</v>
      </c>
      <c r="I770" s="5" t="str">
        <f>IFERROR(__xludf.DUMMYFUNCTION("IF(V770&lt;&gt;"""", GOOGLETRANSLATE(V770, ""RO"", ""EN""), """")"),"")</f>
        <v/>
      </c>
      <c r="J770" s="5" t="str">
        <f>IFERROR(__xludf.DUMMYFUNCTION("IF(W770&lt;&gt;"""", GOOGLETRANSLATE(W770, ""RO"", ""EN""), """")"),"")</f>
        <v/>
      </c>
      <c r="K770" s="5" t="str">
        <f>IFERROR(__xludf.DUMMYFUNCTION("IF(X770&lt;&gt;"""", GOOGLETRANSLATE(X770, ""RO"", ""EN""), """")"),"")</f>
        <v/>
      </c>
      <c r="L770" s="5" t="str">
        <f>IFERROR(__xludf.DUMMYFUNCTION("IF(S770&lt;&gt;"""", GOOGLETRANSLATE(S770, ""RO"", ""EN""), """")"),"")</f>
        <v/>
      </c>
      <c r="M770" s="5" t="str">
        <f>IFERROR(__xludf.DUMMYFUNCTION("IF(T770&lt;&gt;"""", GOOGLETRANSLATE(T770, ""RO"", ""EN""), """")"),"")</f>
        <v/>
      </c>
      <c r="N770" s="5" t="str">
        <f>IFERROR(__xludf.DUMMYFUNCTION("IF(Y770&lt;&gt;"""", GOOGLETRANSLATE(Y770, ""RO"", ""EN""), """")"),"")</f>
        <v/>
      </c>
      <c r="P770" s="4" t="s">
        <v>2060</v>
      </c>
      <c r="Q770" s="4" t="s">
        <v>2061</v>
      </c>
      <c r="R770" s="4" t="s">
        <v>2062</v>
      </c>
      <c r="U770" s="4" t="s">
        <v>2063</v>
      </c>
    </row>
    <row r="771" ht="15.75" customHeight="1">
      <c r="A771" s="4" t="s">
        <v>2059</v>
      </c>
      <c r="B771" s="4" t="s">
        <v>173</v>
      </c>
      <c r="C771" s="4" t="str">
        <f>IFERROR(__xludf.DUMMYFUNCTION("GOOGLETRANSLATE(B771, ""RO"", ""EN"")"),"4")</f>
        <v>4</v>
      </c>
      <c r="D771" s="5" t="str">
        <f>IFERROR(__xludf.DUMMYFUNCTION("IF(O771&lt;&gt;"""", GOOGLETRANSLATE(O771, ""RO"", ""EN""), """")"),"")</f>
        <v/>
      </c>
      <c r="E771" s="6" t="str">
        <f>IFERROR(__xludf.DUMMYFUNCTION("IF(P771&lt;&gt;"""", GOOGLETRANSLATE(P771, ""RO"", ""EN""), """")"),"18-25")</f>
        <v>18-25</v>
      </c>
      <c r="F771" s="5" t="str">
        <f>IFERROR(__xludf.DUMMYFUNCTION("IF(Q771&lt;&gt;"""", GOOGLETRANSLATE(Q771, ""RO"", ""EN""), """")"),"26-40")</f>
        <v>26-40</v>
      </c>
      <c r="G771" s="5" t="str">
        <f>IFERROR(__xludf.DUMMYFUNCTION("IF(R771&lt;&gt;"""", GOOGLETRANSLATE(R771, ""RO"", ""EN""), """")"),"41-64")</f>
        <v>41-64</v>
      </c>
      <c r="H771" s="5" t="str">
        <f>IFERROR(__xludf.DUMMYFUNCTION("IF(U771&lt;&gt;"""", GOOGLETRANSLATE(U771, ""RO"", ""EN""), """")"),"65+")</f>
        <v>65+</v>
      </c>
      <c r="I771" s="5" t="str">
        <f>IFERROR(__xludf.DUMMYFUNCTION("IF(V771&lt;&gt;"""", GOOGLETRANSLATE(V771, ""RO"", ""EN""), """")"),"")</f>
        <v/>
      </c>
      <c r="J771" s="5" t="str">
        <f>IFERROR(__xludf.DUMMYFUNCTION("IF(W771&lt;&gt;"""", GOOGLETRANSLATE(W771, ""RO"", ""EN""), """")"),"")</f>
        <v/>
      </c>
      <c r="K771" s="5" t="str">
        <f>IFERROR(__xludf.DUMMYFUNCTION("IF(X771&lt;&gt;"""", GOOGLETRANSLATE(X771, ""RO"", ""EN""), """")"),"")</f>
        <v/>
      </c>
      <c r="L771" s="5" t="str">
        <f>IFERROR(__xludf.DUMMYFUNCTION("IF(S771&lt;&gt;"""", GOOGLETRANSLATE(S771, ""RO"", ""EN""), """")"),"")</f>
        <v/>
      </c>
      <c r="M771" s="5" t="str">
        <f>IFERROR(__xludf.DUMMYFUNCTION("IF(T771&lt;&gt;"""", GOOGLETRANSLATE(T771, ""RO"", ""EN""), """")"),"")</f>
        <v/>
      </c>
      <c r="N771" s="5" t="str">
        <f>IFERROR(__xludf.DUMMYFUNCTION("IF(Y771&lt;&gt;"""", GOOGLETRANSLATE(Y771, ""RO"", ""EN""), """")"),"")</f>
        <v/>
      </c>
      <c r="P771" s="4" t="s">
        <v>2060</v>
      </c>
      <c r="Q771" s="4" t="s">
        <v>2061</v>
      </c>
      <c r="R771" s="4" t="s">
        <v>2062</v>
      </c>
      <c r="U771" s="4" t="s">
        <v>2063</v>
      </c>
    </row>
    <row r="772" ht="15.75" customHeight="1">
      <c r="A772" s="4" t="s">
        <v>2064</v>
      </c>
      <c r="C772" s="4" t="str">
        <f>IFERROR(__xludf.DUMMYFUNCTION("GOOGLETRANSLATE(B772, ""RO"", ""EN"")"),"#VALUE!")</f>
        <v>#VALUE!</v>
      </c>
      <c r="D772" s="5" t="str">
        <f>IFERROR(__xludf.DUMMYFUNCTION("IF(O772&lt;&gt;"""", GOOGLETRANSLATE(O772, ""RO"", ""EN""), """")"),"")</f>
        <v/>
      </c>
      <c r="E772" s="6" t="str">
        <f>IFERROR(__xludf.DUMMYFUNCTION("IF(P772&lt;&gt;"""", GOOGLETRANSLATE(P772, ""RO"", ""EN""), """")"),"")</f>
        <v/>
      </c>
      <c r="F772" s="5" t="str">
        <f>IFERROR(__xludf.DUMMYFUNCTION("IF(Q772&lt;&gt;"""", GOOGLETRANSLATE(Q772, ""RO"", ""EN""), """")"),"")</f>
        <v/>
      </c>
      <c r="G772" s="5" t="str">
        <f>IFERROR(__xludf.DUMMYFUNCTION("IF(R772&lt;&gt;"""", GOOGLETRANSLATE(R772, ""RO"", ""EN""), """")"),"")</f>
        <v/>
      </c>
      <c r="H772" s="5" t="str">
        <f>IFERROR(__xludf.DUMMYFUNCTION("IF(U772&lt;&gt;"""", GOOGLETRANSLATE(U772, ""RO"", ""EN""), """")"),"")</f>
        <v/>
      </c>
      <c r="I772" s="5" t="str">
        <f>IFERROR(__xludf.DUMMYFUNCTION("IF(V772&lt;&gt;"""", GOOGLETRANSLATE(V772, ""RO"", ""EN""), """")"),"")</f>
        <v/>
      </c>
      <c r="J772" s="5" t="str">
        <f>IFERROR(__xludf.DUMMYFUNCTION("IF(W772&lt;&gt;"""", GOOGLETRANSLATE(W772, ""RO"", ""EN""), """")"),"")</f>
        <v/>
      </c>
      <c r="K772" s="5" t="str">
        <f>IFERROR(__xludf.DUMMYFUNCTION("IF(X772&lt;&gt;"""", GOOGLETRANSLATE(X772, ""RO"", ""EN""), """")"),"")</f>
        <v/>
      </c>
      <c r="L772" s="5" t="str">
        <f>IFERROR(__xludf.DUMMYFUNCTION("IF(S772&lt;&gt;"""", GOOGLETRANSLATE(S772, ""RO"", ""EN""), """")"),"")</f>
        <v/>
      </c>
      <c r="M772" s="5" t="str">
        <f>IFERROR(__xludf.DUMMYFUNCTION("IF(T772&lt;&gt;"""", GOOGLETRANSLATE(T772, ""RO"", ""EN""), """")"),"")</f>
        <v/>
      </c>
      <c r="N772" s="5" t="str">
        <f>IFERROR(__xludf.DUMMYFUNCTION("IF(Y772&lt;&gt;"""", GOOGLETRANSLATE(Y772, ""RO"", ""EN""), """")"),"")</f>
        <v/>
      </c>
    </row>
    <row r="773" ht="15.75" customHeight="1">
      <c r="A773" s="4" t="s">
        <v>2065</v>
      </c>
      <c r="C773" s="4" t="str">
        <f>IFERROR(__xludf.DUMMYFUNCTION("GOOGLETRANSLATE(B773, ""RO"", ""EN"")"),"#VALUE!")</f>
        <v>#VALUE!</v>
      </c>
      <c r="D773" s="5" t="str">
        <f>IFERROR(__xludf.DUMMYFUNCTION("IF(O773&lt;&gt;"""", GOOGLETRANSLATE(O773, ""RO"", ""EN""), """")"),"")</f>
        <v/>
      </c>
      <c r="E773" s="6" t="str">
        <f>IFERROR(__xludf.DUMMYFUNCTION("IF(P773&lt;&gt;"""", GOOGLETRANSLATE(P773, ""RO"", ""EN""), """")"),"")</f>
        <v/>
      </c>
      <c r="F773" s="5" t="str">
        <f>IFERROR(__xludf.DUMMYFUNCTION("IF(Q773&lt;&gt;"""", GOOGLETRANSLATE(Q773, ""RO"", ""EN""), """")"),"")</f>
        <v/>
      </c>
      <c r="G773" s="5" t="str">
        <f>IFERROR(__xludf.DUMMYFUNCTION("IF(R773&lt;&gt;"""", GOOGLETRANSLATE(R773, ""RO"", ""EN""), """")"),"")</f>
        <v/>
      </c>
      <c r="H773" s="5" t="str">
        <f>IFERROR(__xludf.DUMMYFUNCTION("IF(U773&lt;&gt;"""", GOOGLETRANSLATE(U773, ""RO"", ""EN""), """")"),"")</f>
        <v/>
      </c>
      <c r="I773" s="5" t="str">
        <f>IFERROR(__xludf.DUMMYFUNCTION("IF(V773&lt;&gt;"""", GOOGLETRANSLATE(V773, ""RO"", ""EN""), """")"),"")</f>
        <v/>
      </c>
      <c r="J773" s="5" t="str">
        <f>IFERROR(__xludf.DUMMYFUNCTION("IF(W773&lt;&gt;"""", GOOGLETRANSLATE(W773, ""RO"", ""EN""), """")"),"")</f>
        <v/>
      </c>
      <c r="K773" s="5" t="str">
        <f>IFERROR(__xludf.DUMMYFUNCTION("IF(X773&lt;&gt;"""", GOOGLETRANSLATE(X773, ""RO"", ""EN""), """")"),"")</f>
        <v/>
      </c>
      <c r="L773" s="5" t="str">
        <f>IFERROR(__xludf.DUMMYFUNCTION("IF(S773&lt;&gt;"""", GOOGLETRANSLATE(S773, ""RO"", ""EN""), """")"),"")</f>
        <v/>
      </c>
      <c r="M773" s="5" t="str">
        <f>IFERROR(__xludf.DUMMYFUNCTION("IF(T773&lt;&gt;"""", GOOGLETRANSLATE(T773, ""RO"", ""EN""), """")"),"")</f>
        <v/>
      </c>
      <c r="N773" s="5" t="str">
        <f>IFERROR(__xludf.DUMMYFUNCTION("IF(Y773&lt;&gt;"""", GOOGLETRANSLATE(Y773, ""RO"", ""EN""), """")"),"")</f>
        <v/>
      </c>
    </row>
    <row r="774" ht="15.75" customHeight="1">
      <c r="A774" s="4" t="s">
        <v>2066</v>
      </c>
      <c r="B774" s="4" t="s">
        <v>2067</v>
      </c>
      <c r="C774" s="4" t="str">
        <f>IFERROR(__xludf.DUMMYFUNCTION("GOOGLETRANSLATE(B774, ""RO"", ""EN"")"),"Gender")</f>
        <v>Gender</v>
      </c>
      <c r="D774" s="5" t="str">
        <f>IFERROR(__xludf.DUMMYFUNCTION("IF(O774&lt;&gt;"""", GOOGLETRANSLATE(O774, ""RO"", ""EN""), """")"),"")</f>
        <v/>
      </c>
      <c r="E774" s="6" t="str">
        <f>IFERROR(__xludf.DUMMYFUNCTION("IF(P774&lt;&gt;"""", GOOGLETRANSLATE(P774, ""RO"", ""EN""), """")"),"male")</f>
        <v>male</v>
      </c>
      <c r="F774" s="5" t="str">
        <f>IFERROR(__xludf.DUMMYFUNCTION("IF(Q774&lt;&gt;"""", GOOGLETRANSLATE(Q774, ""RO"", ""EN""), """")"),"female")</f>
        <v>female</v>
      </c>
      <c r="G774" s="5" t="str">
        <f>IFERROR(__xludf.DUMMYFUNCTION("IF(R774&lt;&gt;"""", GOOGLETRANSLATE(R774, ""RO"", ""EN""), """")"),"")</f>
        <v/>
      </c>
      <c r="H774" s="5" t="str">
        <f>IFERROR(__xludf.DUMMYFUNCTION("IF(U774&lt;&gt;"""", GOOGLETRANSLATE(U774, ""RO"", ""EN""), """")"),"")</f>
        <v/>
      </c>
      <c r="I774" s="5" t="str">
        <f>IFERROR(__xludf.DUMMYFUNCTION("IF(V774&lt;&gt;"""", GOOGLETRANSLATE(V774, ""RO"", ""EN""), """")"),"")</f>
        <v/>
      </c>
      <c r="J774" s="5" t="str">
        <f>IFERROR(__xludf.DUMMYFUNCTION("IF(W774&lt;&gt;"""", GOOGLETRANSLATE(W774, ""RO"", ""EN""), """")"),"")</f>
        <v/>
      </c>
      <c r="K774" s="5" t="str">
        <f>IFERROR(__xludf.DUMMYFUNCTION("IF(X774&lt;&gt;"""", GOOGLETRANSLATE(X774, ""RO"", ""EN""), """")"),"")</f>
        <v/>
      </c>
      <c r="L774" s="5" t="str">
        <f>IFERROR(__xludf.DUMMYFUNCTION("IF(S774&lt;&gt;"""", GOOGLETRANSLATE(S774, ""RO"", ""EN""), """")"),"")</f>
        <v/>
      </c>
      <c r="M774" s="5" t="str">
        <f>IFERROR(__xludf.DUMMYFUNCTION("IF(T774&lt;&gt;"""", GOOGLETRANSLATE(T774, ""RO"", ""EN""), """")"),"")</f>
        <v/>
      </c>
      <c r="N774" s="5" t="str">
        <f>IFERROR(__xludf.DUMMYFUNCTION("IF(Y774&lt;&gt;"""", GOOGLETRANSLATE(Y774, ""RO"", ""EN""), """")"),"")</f>
        <v/>
      </c>
      <c r="P774" s="4" t="s">
        <v>2068</v>
      </c>
      <c r="Q774" s="4" t="s">
        <v>2069</v>
      </c>
    </row>
    <row r="775" ht="15.75" customHeight="1">
      <c r="A775" s="4" t="s">
        <v>2070</v>
      </c>
      <c r="B775" s="4" t="s">
        <v>2071</v>
      </c>
      <c r="C775" s="4" t="str">
        <f>IFERROR(__xludf.DUMMYFUNCTION("GOOGLETRANSLATE(B775, ""RO"", ""EN"")"),"Age groups")</f>
        <v>Age groups</v>
      </c>
      <c r="D775" s="5" t="str">
        <f>IFERROR(__xludf.DUMMYFUNCTION("IF(O775&lt;&gt;"""", GOOGLETRANSLATE(O775, ""RO"", ""EN""), """")"),"")</f>
        <v/>
      </c>
      <c r="E775" s="6" t="str">
        <f>IFERROR(__xludf.DUMMYFUNCTION("IF(P775&lt;&gt;"""", GOOGLETRANSLATE(P775, ""RO"", ""EN""), """")"),"18-34")</f>
        <v>18-34</v>
      </c>
      <c r="F775" s="5" t="str">
        <f>IFERROR(__xludf.DUMMYFUNCTION("IF(Q775&lt;&gt;"""", GOOGLETRANSLATE(Q775, ""RO"", ""EN""), """")"),"35-49")</f>
        <v>35-49</v>
      </c>
      <c r="G775" s="5" t="str">
        <f>IFERROR(__xludf.DUMMYFUNCTION("IF(R775&lt;&gt;"""", GOOGLETRANSLATE(R775, ""RO"", ""EN""), """")"),"50-64")</f>
        <v>50-64</v>
      </c>
      <c r="H775" s="5" t="str">
        <f>IFERROR(__xludf.DUMMYFUNCTION("IF(U775&lt;&gt;"""", GOOGLETRANSLATE(U775, ""RO"", ""EN""), """")"),"65+")</f>
        <v>65+</v>
      </c>
      <c r="I775" s="5" t="str">
        <f>IFERROR(__xludf.DUMMYFUNCTION("IF(V775&lt;&gt;"""", GOOGLETRANSLATE(V775, ""RO"", ""EN""), """")"),"")</f>
        <v/>
      </c>
      <c r="J775" s="5" t="str">
        <f>IFERROR(__xludf.DUMMYFUNCTION("IF(W775&lt;&gt;"""", GOOGLETRANSLATE(W775, ""RO"", ""EN""), """")"),"")</f>
        <v/>
      </c>
      <c r="K775" s="5" t="str">
        <f>IFERROR(__xludf.DUMMYFUNCTION("IF(X775&lt;&gt;"""", GOOGLETRANSLATE(X775, ""RO"", ""EN""), """")"),"")</f>
        <v/>
      </c>
      <c r="L775" s="5" t="str">
        <f>IFERROR(__xludf.DUMMYFUNCTION("IF(S775&lt;&gt;"""", GOOGLETRANSLATE(S775, ""RO"", ""EN""), """")"),"")</f>
        <v/>
      </c>
      <c r="M775" s="5" t="str">
        <f>IFERROR(__xludf.DUMMYFUNCTION("IF(T775&lt;&gt;"""", GOOGLETRANSLATE(T775, ""RO"", ""EN""), """")"),"")</f>
        <v/>
      </c>
      <c r="N775" s="5" t="str">
        <f>IFERROR(__xludf.DUMMYFUNCTION("IF(Y775&lt;&gt;"""", GOOGLETRANSLATE(Y775, ""RO"", ""EN""), """")"),"")</f>
        <v/>
      </c>
      <c r="P775" s="4" t="s">
        <v>2072</v>
      </c>
      <c r="Q775" s="4" t="s">
        <v>2073</v>
      </c>
      <c r="R775" s="4" t="s">
        <v>2074</v>
      </c>
      <c r="U775" s="4" t="s">
        <v>2063</v>
      </c>
    </row>
    <row r="776" ht="15.75" customHeight="1">
      <c r="A776" s="4" t="s">
        <v>2075</v>
      </c>
      <c r="B776" s="4" t="s">
        <v>2071</v>
      </c>
      <c r="C776" s="4" t="str">
        <f>IFERROR(__xludf.DUMMYFUNCTION("GOOGLETRANSLATE(B776, ""RO"", ""EN"")"),"Age groups")</f>
        <v>Age groups</v>
      </c>
      <c r="D776" s="5" t="str">
        <f>IFERROR(__xludf.DUMMYFUNCTION("IF(O776&lt;&gt;"""", GOOGLETRANSLATE(O776, ""RO"", ""EN""), """")"),"")</f>
        <v/>
      </c>
      <c r="E776" s="6" t="str">
        <f>IFERROR(__xludf.DUMMYFUNCTION("IF(P776&lt;&gt;"""", GOOGLETRANSLATE(P776, ""RO"", ""EN""), """")"),"18-24")</f>
        <v>18-24</v>
      </c>
      <c r="F776" s="5" t="str">
        <f>IFERROR(__xludf.DUMMYFUNCTION("IF(Q776&lt;&gt;"""", GOOGLETRANSLATE(Q776, ""RO"", ""EN""), """")"),"25-34")</f>
        <v>25-34</v>
      </c>
      <c r="G776" s="5" t="str">
        <f>IFERROR(__xludf.DUMMYFUNCTION("IF(R776&lt;&gt;"""", GOOGLETRANSLATE(R776, ""RO"", ""EN""), """")"),"35-44")</f>
        <v>35-44</v>
      </c>
      <c r="H776" s="5" t="str">
        <f>IFERROR(__xludf.DUMMYFUNCTION("IF(U776&lt;&gt;"""", GOOGLETRANSLATE(U776, ""RO"", ""EN""), """")"),"45-54")</f>
        <v>45-54</v>
      </c>
      <c r="I776" s="5" t="str">
        <f>IFERROR(__xludf.DUMMYFUNCTION("IF(V776&lt;&gt;"""", GOOGLETRANSLATE(V776, ""RO"", ""EN""), """")"),"55-64")</f>
        <v>55-64</v>
      </c>
      <c r="J776" s="5" t="str">
        <f>IFERROR(__xludf.DUMMYFUNCTION("IF(W776&lt;&gt;"""", GOOGLETRANSLATE(W776, ""RO"", ""EN""), """")"),"65+")</f>
        <v>65+</v>
      </c>
      <c r="K776" s="5" t="str">
        <f>IFERROR(__xludf.DUMMYFUNCTION("IF(X776&lt;&gt;"""", GOOGLETRANSLATE(X776, ""RO"", ""EN""), """")"),"")</f>
        <v/>
      </c>
      <c r="L776" s="5" t="str">
        <f>IFERROR(__xludf.DUMMYFUNCTION("IF(S776&lt;&gt;"""", GOOGLETRANSLATE(S776, ""RO"", ""EN""), """")"),"")</f>
        <v/>
      </c>
      <c r="M776" s="5" t="str">
        <f>IFERROR(__xludf.DUMMYFUNCTION("IF(T776&lt;&gt;"""", GOOGLETRANSLATE(T776, ""RO"", ""EN""), """")"),"Refusal")</f>
        <v>Refusal</v>
      </c>
      <c r="N776" s="5" t="str">
        <f>IFERROR(__xludf.DUMMYFUNCTION("IF(Y776&lt;&gt;"""", GOOGLETRANSLATE(Y776, ""RO"", ""EN""), """")"),"")</f>
        <v/>
      </c>
      <c r="P776" s="4" t="s">
        <v>2076</v>
      </c>
      <c r="Q776" s="4" t="s">
        <v>2077</v>
      </c>
      <c r="R776" s="4" t="s">
        <v>2078</v>
      </c>
      <c r="T776" s="4" t="s">
        <v>739</v>
      </c>
      <c r="U776" s="4" t="s">
        <v>2079</v>
      </c>
      <c r="V776" s="4" t="s">
        <v>2080</v>
      </c>
      <c r="W776" s="4" t="s">
        <v>2063</v>
      </c>
    </row>
    <row r="777" ht="15.75" customHeight="1">
      <c r="A777" s="4" t="s">
        <v>2081</v>
      </c>
      <c r="B777" s="4" t="s">
        <v>2082</v>
      </c>
      <c r="C777" s="4" t="str">
        <f>IFERROR(__xludf.DUMMYFUNCTION("GOOGLETRANSLATE(B777, ""RO"", ""EN"")"),"studied")</f>
        <v>studied</v>
      </c>
      <c r="D777" s="5" t="str">
        <f>IFERROR(__xludf.DUMMYFUNCTION("IF(O777&lt;&gt;"""", GOOGLETRANSLATE(O777, ""RO"", ""EN""), """")"),"")</f>
        <v/>
      </c>
      <c r="E777" s="6" t="str">
        <f>IFERROR(__xludf.DUMMYFUNCTION("IF(P777&lt;&gt;"""", GOOGLETRANSLATE(P777, ""RO"", ""EN""), """")"),"at most 10 classes / vocational school")</f>
        <v>at most 10 classes / vocational school</v>
      </c>
      <c r="F777" s="5" t="str">
        <f>IFERROR(__xludf.DUMMYFUNCTION("IF(Q777&lt;&gt;"""", GOOGLETRANSLATE(Q777, ""RO"", ""EN""), """")"),"High School / Post-Lice School")</f>
        <v>High School / Post-Lice School</v>
      </c>
      <c r="G777" s="5" t="str">
        <f>IFERROR(__xludf.DUMMYFUNCTION("IF(R777&lt;&gt;"""", GOOGLETRANSLATE(R777, ""RO"", ""EN""), """")"),"Higher Education")</f>
        <v>Higher Education</v>
      </c>
      <c r="H777" s="5" t="str">
        <f>IFERROR(__xludf.DUMMYFUNCTION("IF(U777&lt;&gt;"""", GOOGLETRANSLATE(U777, ""RO"", ""EN""), """")"),"")</f>
        <v/>
      </c>
      <c r="I777" s="5" t="str">
        <f>IFERROR(__xludf.DUMMYFUNCTION("IF(V777&lt;&gt;"""", GOOGLETRANSLATE(V777, ""RO"", ""EN""), """")"),"")</f>
        <v/>
      </c>
      <c r="J777" s="5" t="str">
        <f>IFERROR(__xludf.DUMMYFUNCTION("IF(W777&lt;&gt;"""", GOOGLETRANSLATE(W777, ""RO"", ""EN""), """")"),"")</f>
        <v/>
      </c>
      <c r="K777" s="5" t="str">
        <f>IFERROR(__xludf.DUMMYFUNCTION("IF(X777&lt;&gt;"""", GOOGLETRANSLATE(X777, ""RO"", ""EN""), """")"),"")</f>
        <v/>
      </c>
      <c r="L777" s="5" t="str">
        <f>IFERROR(__xludf.DUMMYFUNCTION("IF(S777&lt;&gt;"""", GOOGLETRANSLATE(S777, ""RO"", ""EN""), """")"),"")</f>
        <v/>
      </c>
      <c r="M777" s="5" t="str">
        <f>IFERROR(__xludf.DUMMYFUNCTION("IF(T777&lt;&gt;"""", GOOGLETRANSLATE(T777, ""RO"", ""EN""), """")"),"")</f>
        <v/>
      </c>
      <c r="N777" s="5" t="str">
        <f>IFERROR(__xludf.DUMMYFUNCTION("IF(Y777&lt;&gt;"""", GOOGLETRANSLATE(Y777, ""RO"", ""EN""), """")"),"")</f>
        <v/>
      </c>
      <c r="P777" s="4" t="s">
        <v>2083</v>
      </c>
      <c r="Q777" s="4" t="s">
        <v>2084</v>
      </c>
      <c r="R777" s="4" t="s">
        <v>2085</v>
      </c>
    </row>
    <row r="778" ht="15.75" customHeight="1">
      <c r="A778" s="4" t="s">
        <v>1986</v>
      </c>
      <c r="B778" s="4" t="s">
        <v>2086</v>
      </c>
      <c r="C778" s="4" t="str">
        <f>IFERROR(__xludf.DUMMYFUNCTION("GOOGLETRANSLATE(B778, ""RO"", ""EN"")"),"environment")</f>
        <v>environment</v>
      </c>
      <c r="D778" s="5" t="str">
        <f>IFERROR(__xludf.DUMMYFUNCTION("IF(O778&lt;&gt;"""", GOOGLETRANSLATE(O778, ""RO"", ""EN""), """")"),"")</f>
        <v/>
      </c>
      <c r="E778" s="6" t="str">
        <f>IFERROR(__xludf.DUMMYFUNCTION("IF(P778&lt;&gt;"""", GOOGLETRANSLATE(P778, ""RO"", ""EN""), """")"),"urban")</f>
        <v>urban</v>
      </c>
      <c r="F778" s="5" t="str">
        <f>IFERROR(__xludf.DUMMYFUNCTION("IF(Q778&lt;&gt;"""", GOOGLETRANSLATE(Q778, ""RO"", ""EN""), """")"),"rural")</f>
        <v>rural</v>
      </c>
      <c r="G778" s="5" t="str">
        <f>IFERROR(__xludf.DUMMYFUNCTION("IF(R778&lt;&gt;"""", GOOGLETRANSLATE(R778, ""RO"", ""EN""), """")"),"")</f>
        <v/>
      </c>
      <c r="H778" s="5" t="str">
        <f>IFERROR(__xludf.DUMMYFUNCTION("IF(U778&lt;&gt;"""", GOOGLETRANSLATE(U778, ""RO"", ""EN""), """")"),"")</f>
        <v/>
      </c>
      <c r="I778" s="5" t="str">
        <f>IFERROR(__xludf.DUMMYFUNCTION("IF(V778&lt;&gt;"""", GOOGLETRANSLATE(V778, ""RO"", ""EN""), """")"),"")</f>
        <v/>
      </c>
      <c r="J778" s="5" t="str">
        <f>IFERROR(__xludf.DUMMYFUNCTION("IF(W778&lt;&gt;"""", GOOGLETRANSLATE(W778, ""RO"", ""EN""), """")"),"")</f>
        <v/>
      </c>
      <c r="K778" s="5" t="str">
        <f>IFERROR(__xludf.DUMMYFUNCTION("IF(X778&lt;&gt;"""", GOOGLETRANSLATE(X778, ""RO"", ""EN""), """")"),"")</f>
        <v/>
      </c>
      <c r="L778" s="5" t="str">
        <f>IFERROR(__xludf.DUMMYFUNCTION("IF(S778&lt;&gt;"""", GOOGLETRANSLATE(S778, ""RO"", ""EN""), """")"),"")</f>
        <v/>
      </c>
      <c r="M778" s="5" t="str">
        <f>IFERROR(__xludf.DUMMYFUNCTION("IF(T778&lt;&gt;"""", GOOGLETRANSLATE(T778, ""RO"", ""EN""), """")"),"")</f>
        <v/>
      </c>
      <c r="N778" s="5" t="str">
        <f>IFERROR(__xludf.DUMMYFUNCTION("IF(Y778&lt;&gt;"""", GOOGLETRANSLATE(Y778, ""RO"", ""EN""), """")"),"")</f>
        <v/>
      </c>
      <c r="P778" s="4" t="s">
        <v>2087</v>
      </c>
      <c r="Q778" s="4" t="s">
        <v>2088</v>
      </c>
    </row>
    <row r="779" ht="15.75" customHeight="1">
      <c r="A779" s="4" t="s">
        <v>2089</v>
      </c>
      <c r="B779" s="4" t="s">
        <v>2090</v>
      </c>
      <c r="C779" s="4" t="str">
        <f>IFERROR(__xludf.DUMMYFUNCTION("GOOGLETRANSLATE(B779, ""RO"", ""EN"")"),"Sex * medium")</f>
        <v>Sex * medium</v>
      </c>
      <c r="D779" s="5" t="str">
        <f>IFERROR(__xludf.DUMMYFUNCTION("IF(O779&lt;&gt;"""", GOOGLETRANSLATE(O779, ""RO"", ""EN""), """")"),"")</f>
        <v/>
      </c>
      <c r="E779" s="6" t="str">
        <f>IFERROR(__xludf.DUMMYFUNCTION("IF(P779&lt;&gt;"""", GOOGLETRANSLATE(P779, ""RO"", ""EN""), """")"),"rural woman")</f>
        <v>rural woman</v>
      </c>
      <c r="F779" s="5" t="str">
        <f>IFERROR(__xludf.DUMMYFUNCTION("IF(Q779&lt;&gt;"""", GOOGLETRANSLATE(Q779, ""RO"", ""EN""), """")"),"rural man")</f>
        <v>rural man</v>
      </c>
      <c r="G779" s="5" t="str">
        <f>IFERROR(__xludf.DUMMYFUNCTION("IF(R779&lt;&gt;"""", GOOGLETRANSLATE(R779, ""RO"", ""EN""), """")"),"urban woman")</f>
        <v>urban woman</v>
      </c>
      <c r="H779" s="5" t="str">
        <f>IFERROR(__xludf.DUMMYFUNCTION("IF(U779&lt;&gt;"""", GOOGLETRANSLATE(U779, ""RO"", ""EN""), """")"),"Urban man")</f>
        <v>Urban man</v>
      </c>
      <c r="I779" s="5" t="str">
        <f>IFERROR(__xludf.DUMMYFUNCTION("IF(V779&lt;&gt;"""", GOOGLETRANSLATE(V779, ""RO"", ""EN""), """")"),"")</f>
        <v/>
      </c>
      <c r="J779" s="5" t="str">
        <f>IFERROR(__xludf.DUMMYFUNCTION("IF(W779&lt;&gt;"""", GOOGLETRANSLATE(W779, ""RO"", ""EN""), """")"),"")</f>
        <v/>
      </c>
      <c r="K779" s="5" t="str">
        <f>IFERROR(__xludf.DUMMYFUNCTION("IF(X779&lt;&gt;"""", GOOGLETRANSLATE(X779, ""RO"", ""EN""), """")"),"")</f>
        <v/>
      </c>
      <c r="L779" s="5" t="str">
        <f>IFERROR(__xludf.DUMMYFUNCTION("IF(S779&lt;&gt;"""", GOOGLETRANSLATE(S779, ""RO"", ""EN""), """")"),"")</f>
        <v/>
      </c>
      <c r="M779" s="5" t="str">
        <f>IFERROR(__xludf.DUMMYFUNCTION("IF(T779&lt;&gt;"""", GOOGLETRANSLATE(T779, ""RO"", ""EN""), """")"),"")</f>
        <v/>
      </c>
      <c r="N779" s="5" t="str">
        <f>IFERROR(__xludf.DUMMYFUNCTION("IF(Y779&lt;&gt;"""", GOOGLETRANSLATE(Y779, ""RO"", ""EN""), """")"),"")</f>
        <v/>
      </c>
      <c r="P779" s="4" t="s">
        <v>2091</v>
      </c>
      <c r="Q779" s="4" t="s">
        <v>2092</v>
      </c>
      <c r="R779" s="4" t="s">
        <v>2093</v>
      </c>
      <c r="U779" s="4" t="s">
        <v>2094</v>
      </c>
    </row>
    <row r="780" ht="15.75" customHeight="1">
      <c r="A780" s="4" t="s">
        <v>2095</v>
      </c>
      <c r="B780" s="4" t="s">
        <v>2096</v>
      </c>
      <c r="C780" s="4" t="str">
        <f>IFERROR(__xludf.DUMMYFUNCTION("GOOGLETRANSLATE(B780, ""RO"", ""EN"")"),"**************** WEight *************************************** ************")</f>
        <v>**************** WEight *************************************** ************</v>
      </c>
      <c r="D780" s="5" t="str">
        <f>IFERROR(__xludf.DUMMYFUNCTION("IF(O780&lt;&gt;"""", GOOGLETRANSLATE(O780, ""RO"", ""EN""), """")"),"")</f>
        <v/>
      </c>
      <c r="E780" s="6" t="str">
        <f>IFERROR(__xludf.DUMMYFUNCTION("IF(P780&lt;&gt;"""", GOOGLETRANSLATE(P780, ""RO"", ""EN""), """")"),"")</f>
        <v/>
      </c>
      <c r="F780" s="5" t="str">
        <f>IFERROR(__xludf.DUMMYFUNCTION("IF(Q780&lt;&gt;"""", GOOGLETRANSLATE(Q780, ""RO"", ""EN""), """")"),"")</f>
        <v/>
      </c>
      <c r="G780" s="5" t="str">
        <f>IFERROR(__xludf.DUMMYFUNCTION("IF(R780&lt;&gt;"""", GOOGLETRANSLATE(R780, ""RO"", ""EN""), """")"),"")</f>
        <v/>
      </c>
      <c r="H780" s="5" t="str">
        <f>IFERROR(__xludf.DUMMYFUNCTION("IF(U780&lt;&gt;"""", GOOGLETRANSLATE(U780, ""RO"", ""EN""), """")"),"")</f>
        <v/>
      </c>
      <c r="I780" s="5" t="str">
        <f>IFERROR(__xludf.DUMMYFUNCTION("IF(V780&lt;&gt;"""", GOOGLETRANSLATE(V780, ""RO"", ""EN""), """")"),"")</f>
        <v/>
      </c>
      <c r="J780" s="5" t="str">
        <f>IFERROR(__xludf.DUMMYFUNCTION("IF(W780&lt;&gt;"""", GOOGLETRANSLATE(W780, ""RO"", ""EN""), """")"),"")</f>
        <v/>
      </c>
      <c r="K780" s="5" t="str">
        <f>IFERROR(__xludf.DUMMYFUNCTION("IF(X780&lt;&gt;"""", GOOGLETRANSLATE(X780, ""RO"", ""EN""), """")"),"")</f>
        <v/>
      </c>
      <c r="L780" s="5" t="str">
        <f>IFERROR(__xludf.DUMMYFUNCTION("IF(S780&lt;&gt;"""", GOOGLETRANSLATE(S780, ""RO"", ""EN""), """")"),"")</f>
        <v/>
      </c>
      <c r="M780" s="5" t="str">
        <f>IFERROR(__xludf.DUMMYFUNCTION("IF(T780&lt;&gt;"""", GOOGLETRANSLATE(T780, ""RO"", ""EN""), """")"),"")</f>
        <v/>
      </c>
      <c r="N780" s="5" t="str">
        <f>IFERROR(__xludf.DUMMYFUNCTION("IF(Y780&lt;&gt;"""", GOOGLETRANSLATE(Y780, ""RO"", ""EN""), """")"),"")</f>
        <v/>
      </c>
    </row>
    <row r="781" ht="15.75" customHeight="1">
      <c r="A781" s="4" t="s">
        <v>2097</v>
      </c>
      <c r="B781" s="4" t="s">
        <v>2098</v>
      </c>
      <c r="C781" s="4" t="str">
        <f>IFERROR(__xludf.DUMMYFUNCTION("GOOGLETRANSLATE(B781, ""RO"", ""EN"")"),"Weighting - Pop Structure Insse - sex*medium*varars")</f>
        <v>Weighting - Pop Structure Insse - sex*medium*varars</v>
      </c>
      <c r="D781" s="5" t="str">
        <f>IFERROR(__xludf.DUMMYFUNCTION("IF(O781&lt;&gt;"""", GOOGLETRANSLATE(O781, ""RO"", ""EN""), """")"),"")</f>
        <v/>
      </c>
      <c r="E781" s="6" t="str">
        <f>IFERROR(__xludf.DUMMYFUNCTION("IF(P781&lt;&gt;"""", GOOGLETRANSLATE(P781, ""RO"", ""EN""), """")"),"")</f>
        <v/>
      </c>
      <c r="F781" s="5" t="str">
        <f>IFERROR(__xludf.DUMMYFUNCTION("IF(Q781&lt;&gt;"""", GOOGLETRANSLATE(Q781, ""RO"", ""EN""), """")"),"")</f>
        <v/>
      </c>
      <c r="G781" s="5" t="str">
        <f>IFERROR(__xludf.DUMMYFUNCTION("IF(R781&lt;&gt;"""", GOOGLETRANSLATE(R781, ""RO"", ""EN""), """")"),"")</f>
        <v/>
      </c>
      <c r="H781" s="5" t="str">
        <f>IFERROR(__xludf.DUMMYFUNCTION("IF(U781&lt;&gt;"""", GOOGLETRANSLATE(U781, ""RO"", ""EN""), """")"),"")</f>
        <v/>
      </c>
      <c r="I781" s="5" t="str">
        <f>IFERROR(__xludf.DUMMYFUNCTION("IF(V781&lt;&gt;"""", GOOGLETRANSLATE(V781, ""RO"", ""EN""), """")"),"")</f>
        <v/>
      </c>
      <c r="J781" s="5" t="str">
        <f>IFERROR(__xludf.DUMMYFUNCTION("IF(W781&lt;&gt;"""", GOOGLETRANSLATE(W781, ""RO"", ""EN""), """")"),"")</f>
        <v/>
      </c>
      <c r="K781" s="5" t="str">
        <f>IFERROR(__xludf.DUMMYFUNCTION("IF(X781&lt;&gt;"""", GOOGLETRANSLATE(X781, ""RO"", ""EN""), """")"),"")</f>
        <v/>
      </c>
      <c r="L781" s="5" t="str">
        <f>IFERROR(__xludf.DUMMYFUNCTION("IF(S781&lt;&gt;"""", GOOGLETRANSLATE(S781, ""RO"", ""EN""), """")"),"")</f>
        <v/>
      </c>
      <c r="M781" s="5" t="str">
        <f>IFERROR(__xludf.DUMMYFUNCTION("IF(T781&lt;&gt;"""", GOOGLETRANSLATE(T781, ""RO"", ""EN""), """")"),"")</f>
        <v/>
      </c>
      <c r="N781" s="5" t="str">
        <f>IFERROR(__xludf.DUMMYFUNCTION("IF(Y781&lt;&gt;"""", GOOGLETRANSLATE(Y781, ""RO"", ""EN""), """")"),"")</f>
        <v/>
      </c>
    </row>
    <row r="782" ht="15.75" customHeight="1">
      <c r="A782" s="4" t="s">
        <v>2099</v>
      </c>
      <c r="B782" s="4" t="s">
        <v>2100</v>
      </c>
      <c r="C782" s="4" t="str">
        <f>IFERROR(__xludf.DUMMYFUNCTION("GOOGLETRANSLATE(B782, ""RO"", ""EN"")"),"Weighing - Pop Structure Insse - sex*medium*vacing*ethnicity")</f>
        <v>Weighing - Pop Structure Insse - sex*medium*vacing*ethnicity</v>
      </c>
      <c r="D782" s="5" t="str">
        <f>IFERROR(__xludf.DUMMYFUNCTION("IF(O782&lt;&gt;"""", GOOGLETRANSLATE(O782, ""RO"", ""EN""), """")"),"")</f>
        <v/>
      </c>
      <c r="E782" s="6" t="str">
        <f>IFERROR(__xludf.DUMMYFUNCTION("IF(P782&lt;&gt;"""", GOOGLETRANSLATE(P782, ""RO"", ""EN""), """")"),"")</f>
        <v/>
      </c>
      <c r="F782" s="5" t="str">
        <f>IFERROR(__xludf.DUMMYFUNCTION("IF(Q782&lt;&gt;"""", GOOGLETRANSLATE(Q782, ""RO"", ""EN""), """")"),"")</f>
        <v/>
      </c>
      <c r="G782" s="5" t="str">
        <f>IFERROR(__xludf.DUMMYFUNCTION("IF(R782&lt;&gt;"""", GOOGLETRANSLATE(R782, ""RO"", ""EN""), """")"),"")</f>
        <v/>
      </c>
      <c r="H782" s="5" t="str">
        <f>IFERROR(__xludf.DUMMYFUNCTION("IF(U782&lt;&gt;"""", GOOGLETRANSLATE(U782, ""RO"", ""EN""), """")"),"")</f>
        <v/>
      </c>
      <c r="I782" s="5" t="str">
        <f>IFERROR(__xludf.DUMMYFUNCTION("IF(V782&lt;&gt;"""", GOOGLETRANSLATE(V782, ""RO"", ""EN""), """")"),"")</f>
        <v/>
      </c>
      <c r="J782" s="5" t="str">
        <f>IFERROR(__xludf.DUMMYFUNCTION("IF(W782&lt;&gt;"""", GOOGLETRANSLATE(W782, ""RO"", ""EN""), """")"),"")</f>
        <v/>
      </c>
      <c r="K782" s="5" t="str">
        <f>IFERROR(__xludf.DUMMYFUNCTION("IF(X782&lt;&gt;"""", GOOGLETRANSLATE(X782, ""RO"", ""EN""), """")"),"")</f>
        <v/>
      </c>
      <c r="L782" s="5" t="str">
        <f>IFERROR(__xludf.DUMMYFUNCTION("IF(S782&lt;&gt;"""", GOOGLETRANSLATE(S782, ""RO"", ""EN""), """")"),"")</f>
        <v/>
      </c>
      <c r="M782" s="5" t="str">
        <f>IFERROR(__xludf.DUMMYFUNCTION("IF(T782&lt;&gt;"""", GOOGLETRANSLATE(T782, ""RO"", ""EN""), """")"),"")</f>
        <v/>
      </c>
      <c r="N782" s="5" t="str">
        <f>IFERROR(__xludf.DUMMYFUNCTION("IF(Y782&lt;&gt;"""", GOOGLETRANSLATE(Y782, ""RO"", ""EN""), """")"),"")</f>
        <v/>
      </c>
    </row>
    <row r="783" ht="15.75" customHeight="1">
      <c r="A783" s="4" t="s">
        <v>2101</v>
      </c>
      <c r="B783" s="4" t="s">
        <v>2102</v>
      </c>
      <c r="C783" s="4" t="str">
        <f>IFERROR(__xludf.DUMMYFUNCTION("GOOGLETRANSLATE(B783, ""RO"", ""EN"")"),"Weighing - Structure of Voters - Sex*Environment*Varstax*Studies")</f>
        <v>Weighing - Structure of Voters - Sex*Environment*Varstax*Studies</v>
      </c>
      <c r="D783" s="5" t="str">
        <f>IFERROR(__xludf.DUMMYFUNCTION("IF(O783&lt;&gt;"""", GOOGLETRANSLATE(O783, ""RO"", ""EN""), """")"),"")</f>
        <v/>
      </c>
      <c r="E783" s="6" t="str">
        <f>IFERROR(__xludf.DUMMYFUNCTION("IF(P783&lt;&gt;"""", GOOGLETRANSLATE(P783, ""RO"", ""EN""), """")"),"")</f>
        <v/>
      </c>
      <c r="F783" s="5" t="str">
        <f>IFERROR(__xludf.DUMMYFUNCTION("IF(Q783&lt;&gt;"""", GOOGLETRANSLATE(Q783, ""RO"", ""EN""), """")"),"")</f>
        <v/>
      </c>
      <c r="G783" s="5" t="str">
        <f>IFERROR(__xludf.DUMMYFUNCTION("IF(R783&lt;&gt;"""", GOOGLETRANSLATE(R783, ""RO"", ""EN""), """")"),"")</f>
        <v/>
      </c>
      <c r="H783" s="5" t="str">
        <f>IFERROR(__xludf.DUMMYFUNCTION("IF(U783&lt;&gt;"""", GOOGLETRANSLATE(U783, ""RO"", ""EN""), """")"),"")</f>
        <v/>
      </c>
      <c r="I783" s="5" t="str">
        <f>IFERROR(__xludf.DUMMYFUNCTION("IF(V783&lt;&gt;"""", GOOGLETRANSLATE(V783, ""RO"", ""EN""), """")"),"")</f>
        <v/>
      </c>
      <c r="J783" s="5" t="str">
        <f>IFERROR(__xludf.DUMMYFUNCTION("IF(W783&lt;&gt;"""", GOOGLETRANSLATE(W783, ""RO"", ""EN""), """")"),"")</f>
        <v/>
      </c>
      <c r="K783" s="5" t="str">
        <f>IFERROR(__xludf.DUMMYFUNCTION("IF(X783&lt;&gt;"""", GOOGLETRANSLATE(X783, ""RO"", ""EN""), """")"),"")</f>
        <v/>
      </c>
      <c r="L783" s="5" t="str">
        <f>IFERROR(__xludf.DUMMYFUNCTION("IF(S783&lt;&gt;"""", GOOGLETRANSLATE(S783, ""RO"", ""EN""), """")"),"")</f>
        <v/>
      </c>
      <c r="M783" s="5" t="str">
        <f>IFERROR(__xludf.DUMMYFUNCTION("IF(T783&lt;&gt;"""", GOOGLETRANSLATE(T783, ""RO"", ""EN""), """")"),"")</f>
        <v/>
      </c>
      <c r="N783" s="5" t="str">
        <f>IFERROR(__xludf.DUMMYFUNCTION("IF(Y783&lt;&gt;"""", GOOGLETRANSLATE(Y783, ""RO"", ""EN""), """")"),"")</f>
        <v/>
      </c>
    </row>
    <row r="784" ht="15.75" customHeight="1">
      <c r="A784" s="4" t="s">
        <v>2103</v>
      </c>
      <c r="B784" s="4" t="s">
        <v>2104</v>
      </c>
      <c r="C784" s="4" t="str">
        <f>IFERROR(__xludf.DUMMYFUNCTION("GOOGLETRANSLATE(B784, ""RO"", ""EN"")"),"Weighing - Wave 2 to Wave 1 - Sex*Medium*Varstax*Studies")</f>
        <v>Weighing - Wave 2 to Wave 1 - Sex*Medium*Varstax*Studies</v>
      </c>
      <c r="D784" s="5" t="str">
        <f>IFERROR(__xludf.DUMMYFUNCTION("IF(O784&lt;&gt;"""", GOOGLETRANSLATE(O784, ""RO"", ""EN""), """")"),"")</f>
        <v/>
      </c>
      <c r="E784" s="6" t="str">
        <f>IFERROR(__xludf.DUMMYFUNCTION("IF(P784&lt;&gt;"""", GOOGLETRANSLATE(P784, ""RO"", ""EN""), """")"),"")</f>
        <v/>
      </c>
      <c r="F784" s="5" t="str">
        <f>IFERROR(__xludf.DUMMYFUNCTION("IF(Q784&lt;&gt;"""", GOOGLETRANSLATE(Q784, ""RO"", ""EN""), """")"),"")</f>
        <v/>
      </c>
      <c r="G784" s="5" t="str">
        <f>IFERROR(__xludf.DUMMYFUNCTION("IF(R784&lt;&gt;"""", GOOGLETRANSLATE(R784, ""RO"", ""EN""), """")"),"")</f>
        <v/>
      </c>
      <c r="H784" s="5" t="str">
        <f>IFERROR(__xludf.DUMMYFUNCTION("IF(U784&lt;&gt;"""", GOOGLETRANSLATE(U784, ""RO"", ""EN""), """")"),"")</f>
        <v/>
      </c>
      <c r="I784" s="5" t="str">
        <f>IFERROR(__xludf.DUMMYFUNCTION("IF(V784&lt;&gt;"""", GOOGLETRANSLATE(V784, ""RO"", ""EN""), """")"),"")</f>
        <v/>
      </c>
      <c r="J784" s="5" t="str">
        <f>IFERROR(__xludf.DUMMYFUNCTION("IF(W784&lt;&gt;"""", GOOGLETRANSLATE(W784, ""RO"", ""EN""), """")"),"")</f>
        <v/>
      </c>
      <c r="K784" s="5" t="str">
        <f>IFERROR(__xludf.DUMMYFUNCTION("IF(X784&lt;&gt;"""", GOOGLETRANSLATE(X784, ""RO"", ""EN""), """")"),"")</f>
        <v/>
      </c>
      <c r="L784" s="5" t="str">
        <f>IFERROR(__xludf.DUMMYFUNCTION("IF(S784&lt;&gt;"""", GOOGLETRANSLATE(S784, ""RO"", ""EN""), """")"),"")</f>
        <v/>
      </c>
      <c r="M784" s="5" t="str">
        <f>IFERROR(__xludf.DUMMYFUNCTION("IF(T784&lt;&gt;"""", GOOGLETRANSLATE(T784, ""RO"", ""EN""), """")"),"")</f>
        <v/>
      </c>
      <c r="N784" s="5" t="str">
        <f>IFERROR(__xludf.DUMMYFUNCTION("IF(Y784&lt;&gt;"""", GOOGLETRANSLATE(Y784, ""RO"", ""EN""), """")"),"")</f>
        <v/>
      </c>
    </row>
    <row r="785" ht="15.75" customHeight="1">
      <c r="A785" s="4" t="s">
        <v>2105</v>
      </c>
      <c r="B785" s="4" t="s">
        <v>2106</v>
      </c>
      <c r="C785" s="4" t="str">
        <f>IFERROR(__xludf.DUMMYFUNCTION("GOOGLETRANSLATE(B785, ""RO"", ""EN"")"),"Weighing - Wave 3 to Wave 1 - Sex*Medium*Varstax*Studies")</f>
        <v>Weighing - Wave 3 to Wave 1 - Sex*Medium*Varstax*Studies</v>
      </c>
      <c r="D785" s="5" t="str">
        <f>IFERROR(__xludf.DUMMYFUNCTION("IF(O785&lt;&gt;"""", GOOGLETRANSLATE(O785, ""RO"", ""EN""), """")"),"")</f>
        <v/>
      </c>
      <c r="E785" s="6" t="str">
        <f>IFERROR(__xludf.DUMMYFUNCTION("IF(P785&lt;&gt;"""", GOOGLETRANSLATE(P785, ""RO"", ""EN""), """")"),"")</f>
        <v/>
      </c>
      <c r="F785" s="5" t="str">
        <f>IFERROR(__xludf.DUMMYFUNCTION("IF(Q785&lt;&gt;"""", GOOGLETRANSLATE(Q785, ""RO"", ""EN""), """")"),"")</f>
        <v/>
      </c>
      <c r="G785" s="5" t="str">
        <f>IFERROR(__xludf.DUMMYFUNCTION("IF(R785&lt;&gt;"""", GOOGLETRANSLATE(R785, ""RO"", ""EN""), """")"),"")</f>
        <v/>
      </c>
      <c r="H785" s="5" t="str">
        <f>IFERROR(__xludf.DUMMYFUNCTION("IF(U785&lt;&gt;"""", GOOGLETRANSLATE(U785, ""RO"", ""EN""), """")"),"")</f>
        <v/>
      </c>
      <c r="I785" s="5" t="str">
        <f>IFERROR(__xludf.DUMMYFUNCTION("IF(V785&lt;&gt;"""", GOOGLETRANSLATE(V785, ""RO"", ""EN""), """")"),"")</f>
        <v/>
      </c>
      <c r="J785" s="5" t="str">
        <f>IFERROR(__xludf.DUMMYFUNCTION("IF(W785&lt;&gt;"""", GOOGLETRANSLATE(W785, ""RO"", ""EN""), """")"),"")</f>
        <v/>
      </c>
      <c r="K785" s="5" t="str">
        <f>IFERROR(__xludf.DUMMYFUNCTION("IF(X785&lt;&gt;"""", GOOGLETRANSLATE(X785, ""RO"", ""EN""), """")"),"")</f>
        <v/>
      </c>
      <c r="L785" s="5" t="str">
        <f>IFERROR(__xludf.DUMMYFUNCTION("IF(S785&lt;&gt;"""", GOOGLETRANSLATE(S785, ""RO"", ""EN""), """")"),"")</f>
        <v/>
      </c>
      <c r="M785" s="5" t="str">
        <f>IFERROR(__xludf.DUMMYFUNCTION("IF(T785&lt;&gt;"""", GOOGLETRANSLATE(T785, ""RO"", ""EN""), """")"),"")</f>
        <v/>
      </c>
      <c r="N785" s="5" t="str">
        <f>IFERROR(__xludf.DUMMYFUNCTION("IF(Y785&lt;&gt;"""", GOOGLETRANSLATE(Y785, ""RO"", ""EN""), """")"),"")</f>
        <v/>
      </c>
    </row>
  </sheetData>
  <printOptions/>
  <pageMargins bottom="0.75" footer="0.0" header="0.0" left="0.7" right="0.7" top="0.75"/>
  <pageSetup orientation="landscape"/>
  <drawing r:id="rId1"/>
</worksheet>
</file>