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8_{04EB8951-A3B4-4787-B9DD-50753AC50DA3}" xr6:coauthVersionLast="47" xr6:coauthVersionMax="47" xr10:uidLastSave="{00000000-0000-0000-0000-000000000000}"/>
  <bookViews>
    <workbookView xWindow="-120" yWindow="-120" windowWidth="29040" windowHeight="17640" tabRatio="796" activeTab="4" xr2:uid="{00000000-000D-0000-FFFF-FFFF00000000}"/>
  </bookViews>
  <sheets>
    <sheet name="养成体验解锁节奏" sheetId="18" r:id="rId1"/>
    <sheet name="养成进度-按时间" sheetId="2" r:id="rId2"/>
    <sheet name="第一队强度测算" sheetId="1" r:id="rId3"/>
    <sheet name="英雄数值模型-英雄等级" sheetId="3" r:id="rId4"/>
    <sheet name="战力关系" sheetId="9" r:id="rId5"/>
    <sheet name="英雄数值模型-天" sheetId="4" r:id="rId6"/>
    <sheet name="战宠数值模型-等级" sheetId="6" r:id="rId7"/>
    <sheet name="战宠数值模型-天" sheetId="7" r:id="rId8"/>
    <sheet name="英雄升级数值" sheetId="10" r:id="rId9"/>
    <sheet name="英雄升星数值" sheetId="11" r:id="rId10"/>
    <sheet name="英雄装备数值" sheetId="12" r:id="rId11"/>
    <sheet name="装备强化数值" sheetId="13" r:id="rId12"/>
    <sheet name="宠物升级数值-标准单只" sheetId="14" r:id="rId13"/>
    <sheet name="宠物升阶数值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8" i="1" l="1"/>
  <c r="AN38" i="1"/>
  <c r="AL38" i="1"/>
  <c r="AP37" i="1"/>
  <c r="AN37" i="1"/>
  <c r="AL37" i="1"/>
  <c r="AP36" i="1"/>
  <c r="AN36" i="1"/>
  <c r="AL36" i="1"/>
  <c r="AP35" i="1"/>
  <c r="AN35" i="1"/>
  <c r="AL35" i="1"/>
  <c r="AP34" i="1"/>
  <c r="AN34" i="1"/>
  <c r="AL34" i="1"/>
  <c r="AP33" i="1"/>
  <c r="AN33" i="1"/>
  <c r="AL33" i="1"/>
  <c r="AP32" i="1"/>
  <c r="AP39" i="1" s="1"/>
  <c r="AN32" i="1"/>
  <c r="AL32" i="1"/>
  <c r="AL39" i="1" s="1"/>
  <c r="AJ38" i="1"/>
  <c r="AH38" i="1"/>
  <c r="AF38" i="1"/>
  <c r="AJ37" i="1"/>
  <c r="AH37" i="1"/>
  <c r="AF37" i="1"/>
  <c r="AJ36" i="1"/>
  <c r="AH36" i="1"/>
  <c r="AF36" i="1"/>
  <c r="AJ35" i="1"/>
  <c r="AH35" i="1"/>
  <c r="AF35" i="1"/>
  <c r="AJ34" i="1"/>
  <c r="AH34" i="1"/>
  <c r="AF34" i="1"/>
  <c r="AJ33" i="1"/>
  <c r="AH33" i="1"/>
  <c r="AF33" i="1"/>
  <c r="AJ32" i="1"/>
  <c r="AJ39" i="1" s="1"/>
  <c r="AH32" i="1"/>
  <c r="AH39" i="1" s="1"/>
  <c r="AF32" i="1"/>
  <c r="AF39" i="1" s="1"/>
  <c r="AJ18" i="1"/>
  <c r="AH18" i="1"/>
  <c r="AF18" i="1"/>
  <c r="AJ17" i="1"/>
  <c r="AH17" i="1"/>
  <c r="AF17" i="1"/>
  <c r="AJ16" i="1"/>
  <c r="AH16" i="1"/>
  <c r="AF16" i="1"/>
  <c r="AJ15" i="1"/>
  <c r="AH15" i="1"/>
  <c r="AF15" i="1"/>
  <c r="AJ14" i="1"/>
  <c r="AH14" i="1"/>
  <c r="AF14" i="1"/>
  <c r="AJ13" i="1"/>
  <c r="AH13" i="1"/>
  <c r="AF13" i="1"/>
  <c r="AJ12" i="1"/>
  <c r="AH12" i="1"/>
  <c r="AH19" i="1" s="1"/>
  <c r="AF12" i="1"/>
  <c r="AF19" i="1" s="1"/>
  <c r="AD38" i="1"/>
  <c r="AB38" i="1"/>
  <c r="Z38" i="1"/>
  <c r="AD37" i="1"/>
  <c r="AB37" i="1"/>
  <c r="Z37" i="1"/>
  <c r="AD36" i="1"/>
  <c r="AB36" i="1"/>
  <c r="Z36" i="1"/>
  <c r="AD35" i="1"/>
  <c r="AB35" i="1"/>
  <c r="Z35" i="1"/>
  <c r="AD34" i="1"/>
  <c r="AB34" i="1"/>
  <c r="Z34" i="1"/>
  <c r="AD33" i="1"/>
  <c r="AB33" i="1"/>
  <c r="Z33" i="1"/>
  <c r="AD32" i="1"/>
  <c r="AD39" i="1" s="1"/>
  <c r="AB32" i="1"/>
  <c r="Z32" i="1"/>
  <c r="Z39" i="1" s="1"/>
  <c r="AD18" i="1"/>
  <c r="AB18" i="1"/>
  <c r="Z18" i="1"/>
  <c r="AD17" i="1"/>
  <c r="AB17" i="1"/>
  <c r="Z17" i="1"/>
  <c r="AD16" i="1"/>
  <c r="AB16" i="1"/>
  <c r="Z16" i="1"/>
  <c r="AD15" i="1"/>
  <c r="AB15" i="1"/>
  <c r="Z15" i="1"/>
  <c r="AD14" i="1"/>
  <c r="AB14" i="1"/>
  <c r="Z14" i="1"/>
  <c r="AD13" i="1"/>
  <c r="AB13" i="1"/>
  <c r="Z13" i="1"/>
  <c r="AD12" i="1"/>
  <c r="AD19" i="1" s="1"/>
  <c r="AB12" i="1"/>
  <c r="AB19" i="1" s="1"/>
  <c r="Z12" i="1"/>
  <c r="Z19" i="1" s="1"/>
  <c r="X38" i="1"/>
  <c r="V38" i="1"/>
  <c r="T38" i="1"/>
  <c r="X37" i="1"/>
  <c r="V37" i="1"/>
  <c r="T37" i="1"/>
  <c r="X36" i="1"/>
  <c r="V36" i="1"/>
  <c r="T36" i="1"/>
  <c r="X35" i="1"/>
  <c r="V35" i="1"/>
  <c r="T35" i="1"/>
  <c r="X34" i="1"/>
  <c r="V34" i="1"/>
  <c r="T34" i="1"/>
  <c r="X33" i="1"/>
  <c r="V33" i="1"/>
  <c r="T33" i="1"/>
  <c r="X32" i="1"/>
  <c r="X39" i="1" s="1"/>
  <c r="V32" i="1"/>
  <c r="V39" i="1" s="1"/>
  <c r="T32" i="1"/>
  <c r="T39" i="1" s="1"/>
  <c r="X18" i="1"/>
  <c r="V18" i="1"/>
  <c r="T18" i="1"/>
  <c r="X17" i="1"/>
  <c r="V17" i="1"/>
  <c r="T17" i="1"/>
  <c r="X16" i="1"/>
  <c r="V16" i="1"/>
  <c r="T16" i="1"/>
  <c r="X15" i="1"/>
  <c r="V15" i="1"/>
  <c r="T15" i="1"/>
  <c r="X14" i="1"/>
  <c r="V14" i="1"/>
  <c r="T14" i="1"/>
  <c r="X13" i="1"/>
  <c r="V13" i="1"/>
  <c r="T13" i="1"/>
  <c r="X12" i="1"/>
  <c r="X19" i="1" s="1"/>
  <c r="V12" i="1"/>
  <c r="T12" i="1"/>
  <c r="R38" i="1"/>
  <c r="P38" i="1"/>
  <c r="N38" i="1"/>
  <c r="R37" i="1"/>
  <c r="P37" i="1"/>
  <c r="N37" i="1"/>
  <c r="R36" i="1"/>
  <c r="P36" i="1"/>
  <c r="N36" i="1"/>
  <c r="R35" i="1"/>
  <c r="P35" i="1"/>
  <c r="N35" i="1"/>
  <c r="R34" i="1"/>
  <c r="P34" i="1"/>
  <c r="N34" i="1"/>
  <c r="R33" i="1"/>
  <c r="P33" i="1"/>
  <c r="N33" i="1"/>
  <c r="R32" i="1"/>
  <c r="P32" i="1"/>
  <c r="N32" i="1"/>
  <c r="N39" i="1" s="1"/>
  <c r="L38" i="1"/>
  <c r="J38" i="1"/>
  <c r="H38" i="1"/>
  <c r="L37" i="1"/>
  <c r="J37" i="1"/>
  <c r="H37" i="1"/>
  <c r="L36" i="1"/>
  <c r="J36" i="1"/>
  <c r="H36" i="1"/>
  <c r="L35" i="1"/>
  <c r="J35" i="1"/>
  <c r="H35" i="1"/>
  <c r="L34" i="1"/>
  <c r="J34" i="1"/>
  <c r="H34" i="1"/>
  <c r="L33" i="1"/>
  <c r="J33" i="1"/>
  <c r="H33" i="1"/>
  <c r="L32" i="1"/>
  <c r="J32" i="1"/>
  <c r="H32" i="1"/>
  <c r="AN39" i="1" l="1"/>
  <c r="AK40" i="1" s="1"/>
  <c r="R39" i="1"/>
  <c r="AE40" i="1"/>
  <c r="AJ19" i="1"/>
  <c r="AE20" i="1" s="1"/>
  <c r="AB39" i="1"/>
  <c r="Y40" i="1" s="1"/>
  <c r="Y20" i="1"/>
  <c r="T19" i="1"/>
  <c r="V19" i="1"/>
  <c r="S40" i="1"/>
  <c r="P39" i="1"/>
  <c r="M40" i="1" s="1"/>
  <c r="L39" i="1"/>
  <c r="H39" i="1"/>
  <c r="J39" i="1"/>
  <c r="S20" i="1" l="1"/>
  <c r="G40" i="1"/>
  <c r="B48" i="1" l="1"/>
  <c r="B47" i="1"/>
  <c r="C48" i="1"/>
  <c r="C47" i="1"/>
  <c r="F38" i="1"/>
  <c r="D38" i="1"/>
  <c r="B38" i="1"/>
  <c r="F37" i="1"/>
  <c r="D37" i="1"/>
  <c r="B37" i="1"/>
  <c r="F36" i="1"/>
  <c r="D36" i="1"/>
  <c r="B36" i="1"/>
  <c r="F35" i="1"/>
  <c r="D35" i="1"/>
  <c r="B35" i="1"/>
  <c r="F34" i="1"/>
  <c r="D34" i="1"/>
  <c r="B34" i="1"/>
  <c r="F33" i="1"/>
  <c r="D33" i="1"/>
  <c r="B33" i="1"/>
  <c r="F32" i="1"/>
  <c r="D32" i="1"/>
  <c r="B32" i="1"/>
  <c r="AP18" i="1"/>
  <c r="AN18" i="1"/>
  <c r="AL18" i="1"/>
  <c r="AP17" i="1"/>
  <c r="AN17" i="1"/>
  <c r="AL17" i="1"/>
  <c r="AP16" i="1"/>
  <c r="AN16" i="1"/>
  <c r="AL16" i="1"/>
  <c r="AP15" i="1"/>
  <c r="AN15" i="1"/>
  <c r="AL15" i="1"/>
  <c r="AP14" i="1"/>
  <c r="AN14" i="1"/>
  <c r="AL14" i="1"/>
  <c r="AP13" i="1"/>
  <c r="AN13" i="1"/>
  <c r="AL13" i="1"/>
  <c r="AP12" i="1"/>
  <c r="AN12" i="1"/>
  <c r="AN19" i="1" s="1"/>
  <c r="AL12" i="1"/>
  <c r="R18" i="1"/>
  <c r="P18" i="1"/>
  <c r="N18" i="1"/>
  <c r="R17" i="1"/>
  <c r="P17" i="1"/>
  <c r="N17" i="1"/>
  <c r="R16" i="1"/>
  <c r="P16" i="1"/>
  <c r="N16" i="1"/>
  <c r="R15" i="1"/>
  <c r="P15" i="1"/>
  <c r="N15" i="1"/>
  <c r="R14" i="1"/>
  <c r="P14" i="1"/>
  <c r="N14" i="1"/>
  <c r="R13" i="1"/>
  <c r="P13" i="1"/>
  <c r="N13" i="1"/>
  <c r="R12" i="1"/>
  <c r="P12" i="1"/>
  <c r="N12" i="1"/>
  <c r="L18" i="1"/>
  <c r="J18" i="1"/>
  <c r="H18" i="1"/>
  <c r="L17" i="1"/>
  <c r="J17" i="1"/>
  <c r="H17" i="1"/>
  <c r="L16" i="1"/>
  <c r="J16" i="1"/>
  <c r="H16" i="1"/>
  <c r="L15" i="1"/>
  <c r="J15" i="1"/>
  <c r="H15" i="1"/>
  <c r="L14" i="1"/>
  <c r="J14" i="1"/>
  <c r="H14" i="1"/>
  <c r="L13" i="1"/>
  <c r="J13" i="1"/>
  <c r="H13" i="1"/>
  <c r="L12" i="1"/>
  <c r="J12" i="1"/>
  <c r="H12" i="1"/>
  <c r="F18" i="1"/>
  <c r="F17" i="1"/>
  <c r="F16" i="1"/>
  <c r="F15" i="1"/>
  <c r="F14" i="1"/>
  <c r="F13" i="1"/>
  <c r="F12" i="1"/>
  <c r="D18" i="1"/>
  <c r="D17" i="1"/>
  <c r="D16" i="1"/>
  <c r="D15" i="1"/>
  <c r="D14" i="1"/>
  <c r="D13" i="1"/>
  <c r="D12" i="1"/>
  <c r="B18" i="1"/>
  <c r="B17" i="1"/>
  <c r="B16" i="1"/>
  <c r="B15" i="1"/>
  <c r="B14" i="1"/>
  <c r="B13" i="1"/>
  <c r="D43" i="12"/>
  <c r="D44" i="12"/>
  <c r="D45" i="12"/>
  <c r="D46" i="12"/>
  <c r="D47" i="12"/>
  <c r="D48" i="12"/>
  <c r="D42" i="12"/>
  <c r="B12" i="1" s="1"/>
  <c r="M31" i="12"/>
  <c r="M30" i="12"/>
  <c r="J32" i="12"/>
  <c r="J35" i="12"/>
  <c r="J18" i="12" s="1"/>
  <c r="J29" i="12"/>
  <c r="J12" i="12" s="1"/>
  <c r="R15" i="12"/>
  <c r="S15" i="12"/>
  <c r="S16" i="12"/>
  <c r="S17" i="12"/>
  <c r="R18" i="12"/>
  <c r="S18" i="12"/>
  <c r="S19" i="12"/>
  <c r="S20" i="12"/>
  <c r="S12" i="12"/>
  <c r="S11" i="12"/>
  <c r="R6" i="12"/>
  <c r="S6" i="12"/>
  <c r="S7" i="12"/>
  <c r="S8" i="12"/>
  <c r="R9" i="12"/>
  <c r="S9" i="12"/>
  <c r="S10" i="12"/>
  <c r="S3" i="12"/>
  <c r="P29" i="12"/>
  <c r="P3" i="12" s="1"/>
  <c r="D29" i="12"/>
  <c r="D12" i="12" s="1"/>
  <c r="S31" i="12"/>
  <c r="S14" i="12" s="1"/>
  <c r="S30" i="12"/>
  <c r="S13" i="12" s="1"/>
  <c r="Q31" i="12"/>
  <c r="Q14" i="12" s="1"/>
  <c r="Q30" i="12"/>
  <c r="G15" i="12"/>
  <c r="G16" i="12"/>
  <c r="G17" i="12"/>
  <c r="G18" i="12"/>
  <c r="G19" i="12"/>
  <c r="G20" i="12"/>
  <c r="G12" i="12"/>
  <c r="G6" i="12"/>
  <c r="G7" i="12"/>
  <c r="G8" i="12"/>
  <c r="G9" i="12"/>
  <c r="G10" i="12"/>
  <c r="G11" i="12"/>
  <c r="F6" i="12"/>
  <c r="F9" i="12"/>
  <c r="F12" i="12"/>
  <c r="F15" i="12"/>
  <c r="F18" i="12"/>
  <c r="G3" i="12"/>
  <c r="G31" i="12"/>
  <c r="G14" i="12" s="1"/>
  <c r="G30" i="12"/>
  <c r="G13" i="12" s="1"/>
  <c r="E31" i="12"/>
  <c r="E14" i="12" s="1"/>
  <c r="E30" i="12"/>
  <c r="E13" i="12" s="1"/>
  <c r="I36" i="12"/>
  <c r="I10" i="12" s="1"/>
  <c r="O33" i="12"/>
  <c r="O7" i="12" s="1"/>
  <c r="O34" i="12"/>
  <c r="O8" i="12" s="1"/>
  <c r="C44" i="12"/>
  <c r="H30" i="12"/>
  <c r="H4" i="12" s="1"/>
  <c r="B3" i="10"/>
  <c r="B4" i="14"/>
  <c r="B5" i="14"/>
  <c r="B6" i="14"/>
  <c r="B7" i="14"/>
  <c r="B8" i="14"/>
  <c r="B9" i="14"/>
  <c r="B10" i="14"/>
  <c r="L10" i="14" s="1"/>
  <c r="B11" i="14"/>
  <c r="B12" i="14"/>
  <c r="V12" i="14" s="1"/>
  <c r="B13" i="14"/>
  <c r="B14" i="14"/>
  <c r="V14" i="14" s="1"/>
  <c r="B15" i="14"/>
  <c r="B16" i="14"/>
  <c r="B17" i="14"/>
  <c r="V17" i="14" s="1"/>
  <c r="B18" i="14"/>
  <c r="V18" i="14" s="1"/>
  <c r="B19" i="14"/>
  <c r="B20" i="14"/>
  <c r="V20" i="14" s="1"/>
  <c r="B21" i="14"/>
  <c r="B22" i="14"/>
  <c r="B23" i="14"/>
  <c r="V23" i="14" s="1"/>
  <c r="B24" i="14"/>
  <c r="L24" i="14" s="1"/>
  <c r="B25" i="14"/>
  <c r="L25" i="14" s="1"/>
  <c r="B26" i="14"/>
  <c r="V26" i="14" s="1"/>
  <c r="B27" i="14"/>
  <c r="L27" i="14" s="1"/>
  <c r="B28" i="14"/>
  <c r="B29" i="14"/>
  <c r="B30" i="14"/>
  <c r="B31" i="14"/>
  <c r="B32" i="14"/>
  <c r="B33" i="14"/>
  <c r="B34" i="14"/>
  <c r="V34" i="14" s="1"/>
  <c r="B35" i="14"/>
  <c r="V35" i="14" s="1"/>
  <c r="B36" i="14"/>
  <c r="B37" i="14"/>
  <c r="V37" i="14" s="1"/>
  <c r="B38" i="14"/>
  <c r="L38" i="14" s="1"/>
  <c r="B39" i="14"/>
  <c r="L39" i="14" s="1"/>
  <c r="B40" i="14"/>
  <c r="L40" i="14" s="1"/>
  <c r="B41" i="14"/>
  <c r="L41" i="14" s="1"/>
  <c r="B42" i="14"/>
  <c r="V42" i="14" s="1"/>
  <c r="B3" i="14"/>
  <c r="L11" i="14"/>
  <c r="V13" i="14"/>
  <c r="L14" i="14"/>
  <c r="L16" i="14"/>
  <c r="L19" i="14"/>
  <c r="V21" i="14"/>
  <c r="V22" i="14"/>
  <c r="V3" i="14"/>
  <c r="G3" i="14"/>
  <c r="V4" i="14"/>
  <c r="W4" i="14"/>
  <c r="X4" i="14"/>
  <c r="Y4" i="14"/>
  <c r="Z4" i="14"/>
  <c r="AA4" i="14"/>
  <c r="AB4" i="14"/>
  <c r="AC4" i="14"/>
  <c r="AD4" i="14"/>
  <c r="V5" i="14"/>
  <c r="W5" i="14"/>
  <c r="X5" i="14"/>
  <c r="Y5" i="14"/>
  <c r="Z5" i="14"/>
  <c r="AA5" i="14"/>
  <c r="AB5" i="14"/>
  <c r="AC5" i="14"/>
  <c r="AD5" i="14"/>
  <c r="V6" i="14"/>
  <c r="W6" i="14"/>
  <c r="X6" i="14"/>
  <c r="Y6" i="14"/>
  <c r="Z6" i="14"/>
  <c r="AA6" i="14"/>
  <c r="AB6" i="14"/>
  <c r="AC6" i="14"/>
  <c r="AD6" i="14"/>
  <c r="V7" i="14"/>
  <c r="W7" i="14"/>
  <c r="X7" i="14"/>
  <c r="Y7" i="14"/>
  <c r="Z7" i="14"/>
  <c r="AA7" i="14"/>
  <c r="AB7" i="14"/>
  <c r="AC7" i="14"/>
  <c r="AD7" i="14"/>
  <c r="V8" i="14"/>
  <c r="W8" i="14"/>
  <c r="X8" i="14"/>
  <c r="Y8" i="14"/>
  <c r="Z8" i="14"/>
  <c r="AA8" i="14"/>
  <c r="AB8" i="14"/>
  <c r="AC8" i="14"/>
  <c r="AD8" i="14"/>
  <c r="V9" i="14"/>
  <c r="W9" i="14"/>
  <c r="X9" i="14"/>
  <c r="Y9" i="14"/>
  <c r="Z9" i="14"/>
  <c r="AA9" i="14"/>
  <c r="AB9" i="14"/>
  <c r="AC9" i="14"/>
  <c r="AD9" i="14"/>
  <c r="V10" i="14"/>
  <c r="W10" i="14"/>
  <c r="X10" i="14"/>
  <c r="Y10" i="14"/>
  <c r="Z10" i="14"/>
  <c r="AA10" i="14"/>
  <c r="AB10" i="14"/>
  <c r="AC10" i="14"/>
  <c r="AD10" i="14"/>
  <c r="W11" i="14"/>
  <c r="X11" i="14"/>
  <c r="Y11" i="14"/>
  <c r="Z11" i="14"/>
  <c r="AA11" i="14"/>
  <c r="AB11" i="14"/>
  <c r="AC11" i="14"/>
  <c r="AD11" i="14"/>
  <c r="W12" i="14"/>
  <c r="X12" i="14"/>
  <c r="Y12" i="14"/>
  <c r="Z12" i="14"/>
  <c r="AA12" i="14"/>
  <c r="AB12" i="14"/>
  <c r="AC12" i="14"/>
  <c r="AD12" i="14"/>
  <c r="W13" i="14"/>
  <c r="X13" i="14"/>
  <c r="Y13" i="14"/>
  <c r="Z13" i="14"/>
  <c r="AA13" i="14"/>
  <c r="AB13" i="14"/>
  <c r="AC13" i="14"/>
  <c r="AD13" i="14"/>
  <c r="W14" i="14"/>
  <c r="X14" i="14"/>
  <c r="Y14" i="14"/>
  <c r="Z14" i="14"/>
  <c r="AA14" i="14"/>
  <c r="AB14" i="14"/>
  <c r="AC14" i="14"/>
  <c r="AD14" i="14"/>
  <c r="V15" i="14"/>
  <c r="W15" i="14"/>
  <c r="X15" i="14"/>
  <c r="Y15" i="14"/>
  <c r="Z15" i="14"/>
  <c r="AA15" i="14"/>
  <c r="AB15" i="14"/>
  <c r="AC15" i="14"/>
  <c r="AD15" i="14"/>
  <c r="W16" i="14"/>
  <c r="X16" i="14"/>
  <c r="Y16" i="14"/>
  <c r="Z16" i="14"/>
  <c r="AA16" i="14"/>
  <c r="AB16" i="14"/>
  <c r="AC16" i="14"/>
  <c r="AD16" i="14"/>
  <c r="W17" i="14"/>
  <c r="X17" i="14"/>
  <c r="Y17" i="14"/>
  <c r="Z17" i="14"/>
  <c r="AA17" i="14"/>
  <c r="AB17" i="14"/>
  <c r="AC17" i="14"/>
  <c r="AD17" i="14"/>
  <c r="W18" i="14"/>
  <c r="X18" i="14"/>
  <c r="Y18" i="14"/>
  <c r="Z18" i="14"/>
  <c r="AA18" i="14"/>
  <c r="AB18" i="14"/>
  <c r="AC18" i="14"/>
  <c r="AD18" i="14"/>
  <c r="W19" i="14"/>
  <c r="X19" i="14"/>
  <c r="Y19" i="14"/>
  <c r="Z19" i="14"/>
  <c r="AA19" i="14"/>
  <c r="AB19" i="14"/>
  <c r="AC19" i="14"/>
  <c r="AD19" i="14"/>
  <c r="W20" i="14"/>
  <c r="X20" i="14"/>
  <c r="Y20" i="14"/>
  <c r="Z20" i="14"/>
  <c r="AA20" i="14"/>
  <c r="AB20" i="14"/>
  <c r="AC20" i="14"/>
  <c r="AD20" i="14"/>
  <c r="W21" i="14"/>
  <c r="X21" i="14"/>
  <c r="Y21" i="14"/>
  <c r="Z21" i="14"/>
  <c r="AA21" i="14"/>
  <c r="AB21" i="14"/>
  <c r="AC21" i="14"/>
  <c r="AD21" i="14"/>
  <c r="W22" i="14"/>
  <c r="X22" i="14"/>
  <c r="Y22" i="14"/>
  <c r="Z22" i="14"/>
  <c r="AA22" i="14"/>
  <c r="AB22" i="14"/>
  <c r="AC22" i="14"/>
  <c r="AD22" i="14"/>
  <c r="W23" i="14"/>
  <c r="X23" i="14"/>
  <c r="Y23" i="14"/>
  <c r="Z23" i="14"/>
  <c r="AA23" i="14"/>
  <c r="AB23" i="14"/>
  <c r="AC23" i="14"/>
  <c r="AD23" i="14"/>
  <c r="W24" i="14"/>
  <c r="X24" i="14"/>
  <c r="Y24" i="14"/>
  <c r="Z24" i="14"/>
  <c r="AA24" i="14"/>
  <c r="AB24" i="14"/>
  <c r="AC24" i="14"/>
  <c r="AD24" i="14"/>
  <c r="W25" i="14"/>
  <c r="X25" i="14"/>
  <c r="Y25" i="14"/>
  <c r="Z25" i="14"/>
  <c r="AA25" i="14"/>
  <c r="AB25" i="14"/>
  <c r="AC25" i="14"/>
  <c r="AD25" i="14"/>
  <c r="W26" i="14"/>
  <c r="X26" i="14"/>
  <c r="Y26" i="14"/>
  <c r="Z26" i="14"/>
  <c r="AA26" i="14"/>
  <c r="AB26" i="14"/>
  <c r="AC26" i="14"/>
  <c r="AD26" i="14"/>
  <c r="W27" i="14"/>
  <c r="X27" i="14"/>
  <c r="Y27" i="14"/>
  <c r="Z27" i="14"/>
  <c r="AA27" i="14"/>
  <c r="AB27" i="14"/>
  <c r="AC27" i="14"/>
  <c r="AD27" i="14"/>
  <c r="V28" i="14"/>
  <c r="W28" i="14"/>
  <c r="X28" i="14"/>
  <c r="Y28" i="14"/>
  <c r="Z28" i="14"/>
  <c r="AA28" i="14"/>
  <c r="AB28" i="14"/>
  <c r="AC28" i="14"/>
  <c r="AD28" i="14"/>
  <c r="V29" i="14"/>
  <c r="W29" i="14"/>
  <c r="X29" i="14"/>
  <c r="Y29" i="14"/>
  <c r="Z29" i="14"/>
  <c r="AA29" i="14"/>
  <c r="AB29" i="14"/>
  <c r="AC29" i="14"/>
  <c r="AD29" i="14"/>
  <c r="V30" i="14"/>
  <c r="W30" i="14"/>
  <c r="X30" i="14"/>
  <c r="Y30" i="14"/>
  <c r="Z30" i="14"/>
  <c r="AA30" i="14"/>
  <c r="AB30" i="14"/>
  <c r="AC30" i="14"/>
  <c r="AD30" i="14"/>
  <c r="V31" i="14"/>
  <c r="W31" i="14"/>
  <c r="X31" i="14"/>
  <c r="Y31" i="14"/>
  <c r="Z31" i="14"/>
  <c r="AA31" i="14"/>
  <c r="AB31" i="14"/>
  <c r="AC31" i="14"/>
  <c r="AD31" i="14"/>
  <c r="V32" i="14"/>
  <c r="W32" i="14"/>
  <c r="X32" i="14"/>
  <c r="Y32" i="14"/>
  <c r="Z32" i="14"/>
  <c r="AA32" i="14"/>
  <c r="AB32" i="14"/>
  <c r="AC32" i="14"/>
  <c r="AD32" i="14"/>
  <c r="V33" i="14"/>
  <c r="W33" i="14"/>
  <c r="X33" i="14"/>
  <c r="Y33" i="14"/>
  <c r="Z33" i="14"/>
  <c r="AA33" i="14"/>
  <c r="AB33" i="14"/>
  <c r="AC33" i="14"/>
  <c r="AD33" i="14"/>
  <c r="W34" i="14"/>
  <c r="X34" i="14"/>
  <c r="Y34" i="14"/>
  <c r="Z34" i="14"/>
  <c r="AA34" i="14"/>
  <c r="AB34" i="14"/>
  <c r="AC34" i="14"/>
  <c r="AD34" i="14"/>
  <c r="W35" i="14"/>
  <c r="X35" i="14"/>
  <c r="Y35" i="14"/>
  <c r="Z35" i="14"/>
  <c r="AA35" i="14"/>
  <c r="AB35" i="14"/>
  <c r="AC35" i="14"/>
  <c r="AD35" i="14"/>
  <c r="V36" i="14"/>
  <c r="W36" i="14"/>
  <c r="X36" i="14"/>
  <c r="Y36" i="14"/>
  <c r="Z36" i="14"/>
  <c r="AA36" i="14"/>
  <c r="AB36" i="14"/>
  <c r="AC36" i="14"/>
  <c r="AD36" i="14"/>
  <c r="W37" i="14"/>
  <c r="X37" i="14"/>
  <c r="Y37" i="14"/>
  <c r="Z37" i="14"/>
  <c r="AA37" i="14"/>
  <c r="AB37" i="14"/>
  <c r="AC37" i="14"/>
  <c r="AD37" i="14"/>
  <c r="V38" i="14"/>
  <c r="W38" i="14"/>
  <c r="X38" i="14"/>
  <c r="Y38" i="14"/>
  <c r="Z38" i="14"/>
  <c r="AA38" i="14"/>
  <c r="AB38" i="14"/>
  <c r="AC38" i="14"/>
  <c r="AD38" i="14"/>
  <c r="V39" i="14"/>
  <c r="W39" i="14"/>
  <c r="X39" i="14"/>
  <c r="Y39" i="14"/>
  <c r="Z39" i="14"/>
  <c r="AA39" i="14"/>
  <c r="AB39" i="14"/>
  <c r="AC39" i="14"/>
  <c r="AD39" i="14"/>
  <c r="W40" i="14"/>
  <c r="X40" i="14"/>
  <c r="Y40" i="14"/>
  <c r="Z40" i="14"/>
  <c r="AA40" i="14"/>
  <c r="AB40" i="14"/>
  <c r="AC40" i="14"/>
  <c r="AD40" i="14"/>
  <c r="V41" i="14"/>
  <c r="W41" i="14"/>
  <c r="X41" i="14"/>
  <c r="Y41" i="14"/>
  <c r="Z41" i="14"/>
  <c r="AA41" i="14"/>
  <c r="AB41" i="14"/>
  <c r="AC41" i="14"/>
  <c r="AD41" i="14"/>
  <c r="W42" i="14"/>
  <c r="X42" i="14"/>
  <c r="Y42" i="14"/>
  <c r="Z42" i="14"/>
  <c r="AA42" i="14"/>
  <c r="AB42" i="14"/>
  <c r="AC42" i="14"/>
  <c r="AD42" i="14"/>
  <c r="W3" i="14"/>
  <c r="X3" i="14"/>
  <c r="Y3" i="14"/>
  <c r="Z3" i="14"/>
  <c r="AA3" i="14"/>
  <c r="AB3" i="14"/>
  <c r="AC3" i="14"/>
  <c r="AD3" i="14"/>
  <c r="L4" i="14"/>
  <c r="M4" i="14"/>
  <c r="N4" i="14"/>
  <c r="O4" i="14"/>
  <c r="P4" i="14"/>
  <c r="Q4" i="14"/>
  <c r="R4" i="14"/>
  <c r="S4" i="14"/>
  <c r="T4" i="14"/>
  <c r="L5" i="14"/>
  <c r="M5" i="14"/>
  <c r="N5" i="14"/>
  <c r="O5" i="14"/>
  <c r="P5" i="14"/>
  <c r="Q5" i="14"/>
  <c r="R5" i="14"/>
  <c r="S5" i="14"/>
  <c r="T5" i="14"/>
  <c r="L6" i="14"/>
  <c r="M6" i="14"/>
  <c r="N6" i="14"/>
  <c r="O6" i="14"/>
  <c r="P6" i="14"/>
  <c r="Q6" i="14"/>
  <c r="R6" i="14"/>
  <c r="S6" i="14"/>
  <c r="T6" i="14"/>
  <c r="L7" i="14"/>
  <c r="M7" i="14"/>
  <c r="N7" i="14"/>
  <c r="O7" i="14"/>
  <c r="P7" i="14"/>
  <c r="Q7" i="14"/>
  <c r="R7" i="14"/>
  <c r="S7" i="14"/>
  <c r="T7" i="14"/>
  <c r="L8" i="14"/>
  <c r="M8" i="14"/>
  <c r="N8" i="14"/>
  <c r="O8" i="14"/>
  <c r="P8" i="14"/>
  <c r="Q8" i="14"/>
  <c r="R8" i="14"/>
  <c r="S8" i="14"/>
  <c r="T8" i="14"/>
  <c r="L9" i="14"/>
  <c r="M9" i="14"/>
  <c r="N9" i="14"/>
  <c r="O9" i="14"/>
  <c r="P9" i="14"/>
  <c r="Q9" i="14"/>
  <c r="R9" i="14"/>
  <c r="S9" i="14"/>
  <c r="T9" i="14"/>
  <c r="M10" i="14"/>
  <c r="N10" i="14"/>
  <c r="O10" i="14"/>
  <c r="P10" i="14"/>
  <c r="Q10" i="14"/>
  <c r="R10" i="14"/>
  <c r="S10" i="14"/>
  <c r="T10" i="14"/>
  <c r="M11" i="14"/>
  <c r="N11" i="14"/>
  <c r="O11" i="14"/>
  <c r="P11" i="14"/>
  <c r="Q11" i="14"/>
  <c r="R11" i="14"/>
  <c r="S11" i="14"/>
  <c r="T11" i="14"/>
  <c r="L12" i="14"/>
  <c r="M12" i="14"/>
  <c r="N12" i="14"/>
  <c r="O12" i="14"/>
  <c r="P12" i="14"/>
  <c r="Q12" i="14"/>
  <c r="R12" i="14"/>
  <c r="S12" i="14"/>
  <c r="T12" i="14"/>
  <c r="M13" i="14"/>
  <c r="N13" i="14"/>
  <c r="O13" i="14"/>
  <c r="P13" i="14"/>
  <c r="Q13" i="14"/>
  <c r="R13" i="14"/>
  <c r="S13" i="14"/>
  <c r="T13" i="14"/>
  <c r="M14" i="14"/>
  <c r="N14" i="14"/>
  <c r="O14" i="14"/>
  <c r="P14" i="14"/>
  <c r="Q14" i="14"/>
  <c r="R14" i="14"/>
  <c r="S14" i="14"/>
  <c r="T14" i="14"/>
  <c r="L15" i="14"/>
  <c r="M15" i="14"/>
  <c r="N15" i="14"/>
  <c r="O15" i="14"/>
  <c r="P15" i="14"/>
  <c r="Q15" i="14"/>
  <c r="R15" i="14"/>
  <c r="S15" i="14"/>
  <c r="T15" i="14"/>
  <c r="M16" i="14"/>
  <c r="N16" i="14"/>
  <c r="O16" i="14"/>
  <c r="P16" i="14"/>
  <c r="Q16" i="14"/>
  <c r="R16" i="14"/>
  <c r="S16" i="14"/>
  <c r="T16" i="14"/>
  <c r="M17" i="14"/>
  <c r="N17" i="14"/>
  <c r="O17" i="14"/>
  <c r="P17" i="14"/>
  <c r="Q17" i="14"/>
  <c r="R17" i="14"/>
  <c r="S17" i="14"/>
  <c r="T17" i="14"/>
  <c r="L18" i="14"/>
  <c r="M18" i="14"/>
  <c r="N18" i="14"/>
  <c r="O18" i="14"/>
  <c r="P18" i="14"/>
  <c r="Q18" i="14"/>
  <c r="R18" i="14"/>
  <c r="S18" i="14"/>
  <c r="T18" i="14"/>
  <c r="M19" i="14"/>
  <c r="N19" i="14"/>
  <c r="O19" i="14"/>
  <c r="P19" i="14"/>
  <c r="Q19" i="14"/>
  <c r="R19" i="14"/>
  <c r="S19" i="14"/>
  <c r="T19" i="14"/>
  <c r="M20" i="14"/>
  <c r="N20" i="14"/>
  <c r="O20" i="14"/>
  <c r="P20" i="14"/>
  <c r="Q20" i="14"/>
  <c r="R20" i="14"/>
  <c r="S20" i="14"/>
  <c r="T20" i="14"/>
  <c r="M21" i="14"/>
  <c r="N21" i="14"/>
  <c r="O21" i="14"/>
  <c r="P21" i="14"/>
  <c r="Q21" i="14"/>
  <c r="R21" i="14"/>
  <c r="S21" i="14"/>
  <c r="T21" i="14"/>
  <c r="M22" i="14"/>
  <c r="N22" i="14"/>
  <c r="O22" i="14"/>
  <c r="P22" i="14"/>
  <c r="Q22" i="14"/>
  <c r="R22" i="14"/>
  <c r="S22" i="14"/>
  <c r="T22" i="14"/>
  <c r="M23" i="14"/>
  <c r="N23" i="14"/>
  <c r="O23" i="14"/>
  <c r="P23" i="14"/>
  <c r="Q23" i="14"/>
  <c r="R23" i="14"/>
  <c r="S23" i="14"/>
  <c r="T23" i="14"/>
  <c r="M24" i="14"/>
  <c r="N24" i="14"/>
  <c r="O24" i="14"/>
  <c r="P24" i="14"/>
  <c r="Q24" i="14"/>
  <c r="R24" i="14"/>
  <c r="S24" i="14"/>
  <c r="T24" i="14"/>
  <c r="M25" i="14"/>
  <c r="N25" i="14"/>
  <c r="O25" i="14"/>
  <c r="P25" i="14"/>
  <c r="Q25" i="14"/>
  <c r="R25" i="14"/>
  <c r="S25" i="14"/>
  <c r="T25" i="14"/>
  <c r="M26" i="14"/>
  <c r="N26" i="14"/>
  <c r="O26" i="14"/>
  <c r="P26" i="14"/>
  <c r="Q26" i="14"/>
  <c r="R26" i="14"/>
  <c r="S26" i="14"/>
  <c r="T26" i="14"/>
  <c r="M27" i="14"/>
  <c r="N27" i="14"/>
  <c r="O27" i="14"/>
  <c r="P27" i="14"/>
  <c r="Q27" i="14"/>
  <c r="R27" i="14"/>
  <c r="S27" i="14"/>
  <c r="T27" i="14"/>
  <c r="L28" i="14"/>
  <c r="M28" i="14"/>
  <c r="N28" i="14"/>
  <c r="O28" i="14"/>
  <c r="P28" i="14"/>
  <c r="Q28" i="14"/>
  <c r="R28" i="14"/>
  <c r="S28" i="14"/>
  <c r="T28" i="14"/>
  <c r="L29" i="14"/>
  <c r="M29" i="14"/>
  <c r="N29" i="14"/>
  <c r="O29" i="14"/>
  <c r="P29" i="14"/>
  <c r="Q29" i="14"/>
  <c r="R29" i="14"/>
  <c r="S29" i="14"/>
  <c r="T29" i="14"/>
  <c r="L30" i="14"/>
  <c r="M30" i="14"/>
  <c r="N30" i="14"/>
  <c r="O30" i="14"/>
  <c r="P30" i="14"/>
  <c r="Q30" i="14"/>
  <c r="R30" i="14"/>
  <c r="S30" i="14"/>
  <c r="T30" i="14"/>
  <c r="L31" i="14"/>
  <c r="M31" i="14"/>
  <c r="N31" i="14"/>
  <c r="O31" i="14"/>
  <c r="P31" i="14"/>
  <c r="Q31" i="14"/>
  <c r="R31" i="14"/>
  <c r="S31" i="14"/>
  <c r="T31" i="14"/>
  <c r="L32" i="14"/>
  <c r="M32" i="14"/>
  <c r="N32" i="14"/>
  <c r="O32" i="14"/>
  <c r="P32" i="14"/>
  <c r="Q32" i="14"/>
  <c r="R32" i="14"/>
  <c r="S32" i="14"/>
  <c r="T32" i="14"/>
  <c r="L33" i="14"/>
  <c r="M33" i="14"/>
  <c r="N33" i="14"/>
  <c r="O33" i="14"/>
  <c r="P33" i="14"/>
  <c r="Q33" i="14"/>
  <c r="R33" i="14"/>
  <c r="S33" i="14"/>
  <c r="T33" i="14"/>
  <c r="L34" i="14"/>
  <c r="M34" i="14"/>
  <c r="N34" i="14"/>
  <c r="O34" i="14"/>
  <c r="P34" i="14"/>
  <c r="Q34" i="14"/>
  <c r="R34" i="14"/>
  <c r="S34" i="14"/>
  <c r="T34" i="14"/>
  <c r="L35" i="14"/>
  <c r="M35" i="14"/>
  <c r="N35" i="14"/>
  <c r="O35" i="14"/>
  <c r="P35" i="14"/>
  <c r="Q35" i="14"/>
  <c r="R35" i="14"/>
  <c r="S35" i="14"/>
  <c r="T35" i="14"/>
  <c r="L36" i="14"/>
  <c r="M36" i="14"/>
  <c r="N36" i="14"/>
  <c r="O36" i="14"/>
  <c r="P36" i="14"/>
  <c r="Q36" i="14"/>
  <c r="R36" i="14"/>
  <c r="S36" i="14"/>
  <c r="T36" i="14"/>
  <c r="M37" i="14"/>
  <c r="N37" i="14"/>
  <c r="O37" i="14"/>
  <c r="P37" i="14"/>
  <c r="Q37" i="14"/>
  <c r="R37" i="14"/>
  <c r="S37" i="14"/>
  <c r="T37" i="14"/>
  <c r="M38" i="14"/>
  <c r="N38" i="14"/>
  <c r="O38" i="14"/>
  <c r="P38" i="14"/>
  <c r="Q38" i="14"/>
  <c r="R38" i="14"/>
  <c r="S38" i="14"/>
  <c r="T38" i="14"/>
  <c r="M39" i="14"/>
  <c r="N39" i="14"/>
  <c r="O39" i="14"/>
  <c r="P39" i="14"/>
  <c r="Q39" i="14"/>
  <c r="R39" i="14"/>
  <c r="S39" i="14"/>
  <c r="T39" i="14"/>
  <c r="M40" i="14"/>
  <c r="N40" i="14"/>
  <c r="O40" i="14"/>
  <c r="P40" i="14"/>
  <c r="Q40" i="14"/>
  <c r="R40" i="14"/>
  <c r="S40" i="14"/>
  <c r="T40" i="14"/>
  <c r="M41" i="14"/>
  <c r="N41" i="14"/>
  <c r="O41" i="14"/>
  <c r="P41" i="14"/>
  <c r="Q41" i="14"/>
  <c r="R41" i="14"/>
  <c r="S41" i="14"/>
  <c r="T41" i="14"/>
  <c r="M42" i="14"/>
  <c r="N42" i="14"/>
  <c r="O42" i="14"/>
  <c r="P42" i="14"/>
  <c r="Q42" i="14"/>
  <c r="R42" i="14"/>
  <c r="S42" i="14"/>
  <c r="T42" i="14"/>
  <c r="M3" i="14"/>
  <c r="N3" i="14"/>
  <c r="O3" i="14"/>
  <c r="P3" i="14"/>
  <c r="Q3" i="14"/>
  <c r="R3" i="14"/>
  <c r="S3" i="14"/>
  <c r="T3" i="14"/>
  <c r="L3" i="14"/>
  <c r="H4" i="14"/>
  <c r="I4" i="14" s="1"/>
  <c r="H5" i="14"/>
  <c r="I5" i="14" s="1"/>
  <c r="H6" i="14"/>
  <c r="I6" i="14"/>
  <c r="J6" i="14"/>
  <c r="H7" i="14"/>
  <c r="I7" i="14"/>
  <c r="J7" i="14"/>
  <c r="H8" i="14"/>
  <c r="I8" i="14"/>
  <c r="J8" i="14"/>
  <c r="H9" i="14"/>
  <c r="I9" i="14"/>
  <c r="J9" i="14"/>
  <c r="H10" i="14"/>
  <c r="I10" i="14"/>
  <c r="J10" i="14"/>
  <c r="H11" i="14"/>
  <c r="I11" i="14"/>
  <c r="J11" i="14"/>
  <c r="H12" i="14"/>
  <c r="I12" i="14"/>
  <c r="J12" i="14"/>
  <c r="H13" i="14"/>
  <c r="I13" i="14" s="1"/>
  <c r="H14" i="14"/>
  <c r="I14" i="14"/>
  <c r="J14" i="14"/>
  <c r="H15" i="14"/>
  <c r="I15" i="14"/>
  <c r="J15" i="14"/>
  <c r="H16" i="14"/>
  <c r="I16" i="14"/>
  <c r="J16" i="14"/>
  <c r="H17" i="14"/>
  <c r="I17" i="14"/>
  <c r="J17" i="14"/>
  <c r="H18" i="14"/>
  <c r="I18" i="14"/>
  <c r="J18" i="14"/>
  <c r="H19" i="14"/>
  <c r="I19" i="14"/>
  <c r="J19" i="14"/>
  <c r="H20" i="14"/>
  <c r="I20" i="14"/>
  <c r="J20" i="14"/>
  <c r="H21" i="14"/>
  <c r="I21" i="14" s="1"/>
  <c r="J21" i="14"/>
  <c r="H22" i="14"/>
  <c r="I22" i="14"/>
  <c r="J22" i="14"/>
  <c r="H23" i="14"/>
  <c r="I23" i="14"/>
  <c r="J23" i="14"/>
  <c r="H24" i="14"/>
  <c r="I24" i="14"/>
  <c r="J24" i="14"/>
  <c r="H25" i="14"/>
  <c r="I25" i="14"/>
  <c r="J25" i="14"/>
  <c r="H26" i="14"/>
  <c r="I26" i="14"/>
  <c r="J26" i="14"/>
  <c r="H27" i="14"/>
  <c r="I27" i="14"/>
  <c r="J27" i="14"/>
  <c r="H28" i="14"/>
  <c r="I28" i="14"/>
  <c r="J28" i="14"/>
  <c r="H29" i="14"/>
  <c r="I29" i="14" s="1"/>
  <c r="J29" i="14"/>
  <c r="H30" i="14"/>
  <c r="I30" i="14"/>
  <c r="J30" i="14"/>
  <c r="H31" i="14"/>
  <c r="I31" i="14"/>
  <c r="J31" i="14"/>
  <c r="H32" i="14"/>
  <c r="I32" i="14"/>
  <c r="J32" i="14"/>
  <c r="H33" i="14"/>
  <c r="I33" i="14"/>
  <c r="J33" i="14"/>
  <c r="H34" i="14"/>
  <c r="I34" i="14"/>
  <c r="J34" i="14"/>
  <c r="H35" i="14"/>
  <c r="I35" i="14"/>
  <c r="J35" i="14"/>
  <c r="H36" i="14"/>
  <c r="I36" i="14"/>
  <c r="J36" i="14"/>
  <c r="H37" i="14"/>
  <c r="I37" i="14" s="1"/>
  <c r="J37" i="14"/>
  <c r="H38" i="14"/>
  <c r="I38" i="14"/>
  <c r="J38" i="14"/>
  <c r="H39" i="14"/>
  <c r="I39" i="14"/>
  <c r="J39" i="14"/>
  <c r="H40" i="14"/>
  <c r="I40" i="14"/>
  <c r="J40" i="14"/>
  <c r="H41" i="14"/>
  <c r="I41" i="14"/>
  <c r="J41" i="14"/>
  <c r="H42" i="14"/>
  <c r="I42" i="14"/>
  <c r="J42" i="14"/>
  <c r="J3" i="14"/>
  <c r="I3" i="14"/>
  <c r="H3" i="14"/>
  <c r="M3" i="6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F29" i="14"/>
  <c r="F35" i="14"/>
  <c r="K3" i="11"/>
  <c r="D4" i="11"/>
  <c r="D5" i="11"/>
  <c r="D6" i="11"/>
  <c r="D7" i="11"/>
  <c r="D8" i="11"/>
  <c r="D3" i="1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3" i="6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3" i="14"/>
  <c r="D4" i="14"/>
  <c r="F4" i="14" s="1"/>
  <c r="D5" i="14"/>
  <c r="F5" i="14" s="1"/>
  <c r="D6" i="14"/>
  <c r="F6" i="14" s="1"/>
  <c r="D7" i="14"/>
  <c r="F7" i="14" s="1"/>
  <c r="D8" i="14"/>
  <c r="F8" i="14" s="1"/>
  <c r="D9" i="14"/>
  <c r="F9" i="14" s="1"/>
  <c r="D10" i="14"/>
  <c r="F10" i="14" s="1"/>
  <c r="D11" i="14"/>
  <c r="F11" i="14" s="1"/>
  <c r="D12" i="14"/>
  <c r="F12" i="14" s="1"/>
  <c r="D13" i="14"/>
  <c r="F13" i="14" s="1"/>
  <c r="D14" i="14"/>
  <c r="F14" i="14" s="1"/>
  <c r="D15" i="14"/>
  <c r="F15" i="14" s="1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F21" i="14" s="1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D30" i="14"/>
  <c r="F30" i="14" s="1"/>
  <c r="D31" i="14"/>
  <c r="F31" i="14" s="1"/>
  <c r="D32" i="14"/>
  <c r="F32" i="14" s="1"/>
  <c r="D33" i="14"/>
  <c r="F33" i="14" s="1"/>
  <c r="D34" i="14"/>
  <c r="F34" i="14" s="1"/>
  <c r="D35" i="14"/>
  <c r="D36" i="14"/>
  <c r="F36" i="14" s="1"/>
  <c r="D37" i="14"/>
  <c r="F37" i="14" s="1"/>
  <c r="D38" i="14"/>
  <c r="F38" i="14" s="1"/>
  <c r="D39" i="14"/>
  <c r="F39" i="14" s="1"/>
  <c r="D40" i="14"/>
  <c r="F40" i="14" s="1"/>
  <c r="D41" i="14"/>
  <c r="F41" i="14" s="1"/>
  <c r="D42" i="14"/>
  <c r="F42" i="14" s="1"/>
  <c r="D3" i="14"/>
  <c r="F3" i="14" s="1"/>
  <c r="J10" i="13"/>
  <c r="J11" i="13"/>
  <c r="J16" i="13"/>
  <c r="G4" i="13"/>
  <c r="G11" i="13"/>
  <c r="G15" i="13"/>
  <c r="E11" i="13"/>
  <c r="E13" i="13"/>
  <c r="E19" i="13"/>
  <c r="B4" i="13"/>
  <c r="M4" i="13" s="1"/>
  <c r="B10" i="13"/>
  <c r="M10" i="13" s="1"/>
  <c r="B11" i="13"/>
  <c r="M11" i="13" s="1"/>
  <c r="B12" i="13"/>
  <c r="G12" i="13" s="1"/>
  <c r="B13" i="13"/>
  <c r="G13" i="13" s="1"/>
  <c r="B15" i="13"/>
  <c r="J15" i="13" s="1"/>
  <c r="B16" i="13"/>
  <c r="E16" i="13" s="1"/>
  <c r="B17" i="13"/>
  <c r="E17" i="13" s="1"/>
  <c r="B19" i="13"/>
  <c r="G19" i="13" s="1"/>
  <c r="B22" i="13"/>
  <c r="E22" i="13" s="1"/>
  <c r="B3" i="13"/>
  <c r="E3" i="13" s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3" i="13"/>
  <c r="D4" i="13"/>
  <c r="D5" i="13"/>
  <c r="B5" i="13" s="1"/>
  <c r="D6" i="13"/>
  <c r="B6" i="13" s="1"/>
  <c r="D7" i="13"/>
  <c r="B7" i="13" s="1"/>
  <c r="D8" i="13"/>
  <c r="B8" i="13" s="1"/>
  <c r="D9" i="13"/>
  <c r="B9" i="13" s="1"/>
  <c r="D10" i="13"/>
  <c r="D11" i="13"/>
  <c r="D12" i="13"/>
  <c r="D13" i="13"/>
  <c r="D14" i="13"/>
  <c r="B14" i="13" s="1"/>
  <c r="D15" i="13"/>
  <c r="D16" i="13"/>
  <c r="D17" i="13"/>
  <c r="D18" i="13"/>
  <c r="B18" i="13" s="1"/>
  <c r="D19" i="13"/>
  <c r="D20" i="13"/>
  <c r="B20" i="13" s="1"/>
  <c r="D21" i="13"/>
  <c r="B21" i="13" s="1"/>
  <c r="D22" i="13"/>
  <c r="D3" i="13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46" i="10"/>
  <c r="E12" i="12"/>
  <c r="H12" i="12"/>
  <c r="I12" i="12"/>
  <c r="K12" i="12"/>
  <c r="L12" i="12"/>
  <c r="M12" i="12"/>
  <c r="N12" i="12"/>
  <c r="O12" i="12"/>
  <c r="Q12" i="12"/>
  <c r="R12" i="12"/>
  <c r="T12" i="12"/>
  <c r="U12" i="12"/>
  <c r="W12" i="12"/>
  <c r="X12" i="12"/>
  <c r="Y12" i="12"/>
  <c r="Z12" i="12"/>
  <c r="AA12" i="12"/>
  <c r="AC12" i="12"/>
  <c r="AD12" i="12"/>
  <c r="AE12" i="12"/>
  <c r="AF12" i="12"/>
  <c r="AG12" i="12"/>
  <c r="E15" i="12"/>
  <c r="H15" i="12"/>
  <c r="I15" i="12"/>
  <c r="K15" i="12"/>
  <c r="L15" i="12"/>
  <c r="M15" i="12"/>
  <c r="N15" i="12"/>
  <c r="O15" i="12"/>
  <c r="Q15" i="12"/>
  <c r="T15" i="12"/>
  <c r="U15" i="12"/>
  <c r="W15" i="12"/>
  <c r="X15" i="12"/>
  <c r="Y15" i="12"/>
  <c r="Z15" i="12"/>
  <c r="AA15" i="12"/>
  <c r="AC15" i="12"/>
  <c r="AD15" i="12"/>
  <c r="AE15" i="12"/>
  <c r="AF15" i="12"/>
  <c r="AG15" i="12"/>
  <c r="E18" i="12"/>
  <c r="H18" i="12"/>
  <c r="I18" i="12"/>
  <c r="K18" i="12"/>
  <c r="L18" i="12"/>
  <c r="M18" i="12"/>
  <c r="N18" i="12"/>
  <c r="O18" i="12"/>
  <c r="Q18" i="12"/>
  <c r="T18" i="12"/>
  <c r="U18" i="12"/>
  <c r="W18" i="12"/>
  <c r="X18" i="12"/>
  <c r="Y18" i="12"/>
  <c r="Z18" i="12"/>
  <c r="AA18" i="12"/>
  <c r="AC18" i="12"/>
  <c r="AD18" i="12"/>
  <c r="AE18" i="12"/>
  <c r="AF18" i="12"/>
  <c r="AG18" i="12"/>
  <c r="E3" i="12"/>
  <c r="F3" i="12"/>
  <c r="H3" i="12"/>
  <c r="I3" i="12"/>
  <c r="K3" i="12"/>
  <c r="L3" i="12"/>
  <c r="M3" i="12"/>
  <c r="N3" i="12"/>
  <c r="O3" i="12"/>
  <c r="Q3" i="12"/>
  <c r="R3" i="12"/>
  <c r="T3" i="12"/>
  <c r="U3" i="12"/>
  <c r="W3" i="12"/>
  <c r="X3" i="12"/>
  <c r="Y3" i="12"/>
  <c r="Z3" i="12"/>
  <c r="AA3" i="12"/>
  <c r="AC3" i="12"/>
  <c r="AD3" i="12"/>
  <c r="AE3" i="12"/>
  <c r="AF3" i="12"/>
  <c r="AG3" i="12"/>
  <c r="E6" i="12"/>
  <c r="H6" i="12"/>
  <c r="I6" i="12"/>
  <c r="K6" i="12"/>
  <c r="L6" i="12"/>
  <c r="M6" i="12"/>
  <c r="N6" i="12"/>
  <c r="O6" i="12"/>
  <c r="Q6" i="12"/>
  <c r="T6" i="12"/>
  <c r="U6" i="12"/>
  <c r="W6" i="12"/>
  <c r="X6" i="12"/>
  <c r="Y6" i="12"/>
  <c r="Z6" i="12"/>
  <c r="AA6" i="12"/>
  <c r="AC6" i="12"/>
  <c r="AD6" i="12"/>
  <c r="AE6" i="12"/>
  <c r="AF6" i="12"/>
  <c r="AG6" i="12"/>
  <c r="E9" i="12"/>
  <c r="H9" i="12"/>
  <c r="I9" i="12"/>
  <c r="K9" i="12"/>
  <c r="L9" i="12"/>
  <c r="M9" i="12"/>
  <c r="N9" i="12"/>
  <c r="O9" i="12"/>
  <c r="Q9" i="12"/>
  <c r="T9" i="12"/>
  <c r="U9" i="12"/>
  <c r="W9" i="12"/>
  <c r="X9" i="12"/>
  <c r="Y9" i="12"/>
  <c r="Z9" i="12"/>
  <c r="AA9" i="12"/>
  <c r="AC9" i="12"/>
  <c r="AD9" i="12"/>
  <c r="AE9" i="12"/>
  <c r="AF9" i="12"/>
  <c r="AG9" i="12"/>
  <c r="AB32" i="12"/>
  <c r="AB6" i="12" s="1"/>
  <c r="AB35" i="12"/>
  <c r="AB18" i="12" s="1"/>
  <c r="V32" i="12"/>
  <c r="V15" i="12" s="1"/>
  <c r="V35" i="12"/>
  <c r="V9" i="12" s="1"/>
  <c r="P32" i="12"/>
  <c r="P6" i="12" s="1"/>
  <c r="P35" i="12"/>
  <c r="P9" i="12" s="1"/>
  <c r="J6" i="12"/>
  <c r="F37" i="12"/>
  <c r="F11" i="12" s="1"/>
  <c r="H37" i="12"/>
  <c r="H20" i="12" s="1"/>
  <c r="I37" i="12"/>
  <c r="I11" i="12" s="1"/>
  <c r="K37" i="12"/>
  <c r="K20" i="12" s="1"/>
  <c r="L37" i="12"/>
  <c r="L11" i="12" s="1"/>
  <c r="M37" i="12"/>
  <c r="M11" i="12" s="1"/>
  <c r="N37" i="12"/>
  <c r="N20" i="12" s="1"/>
  <c r="O37" i="12"/>
  <c r="O20" i="12" s="1"/>
  <c r="Q37" i="12"/>
  <c r="Q20" i="12" s="1"/>
  <c r="R37" i="12"/>
  <c r="R20" i="12" s="1"/>
  <c r="T37" i="12"/>
  <c r="T20" i="12" s="1"/>
  <c r="U37" i="12"/>
  <c r="U11" i="12" s="1"/>
  <c r="W37" i="12"/>
  <c r="W11" i="12" s="1"/>
  <c r="X37" i="12"/>
  <c r="X20" i="12" s="1"/>
  <c r="Y37" i="12"/>
  <c r="Y11" i="12" s="1"/>
  <c r="Z37" i="12"/>
  <c r="Z11" i="12" s="1"/>
  <c r="AA37" i="12"/>
  <c r="AA11" i="12" s="1"/>
  <c r="AC37" i="12"/>
  <c r="AC11" i="12" s="1"/>
  <c r="AD37" i="12"/>
  <c r="AD11" i="12" s="1"/>
  <c r="AE37" i="12"/>
  <c r="AE11" i="12" s="1"/>
  <c r="AF37" i="12"/>
  <c r="AF11" i="12" s="1"/>
  <c r="AG37" i="12"/>
  <c r="AG11" i="12" s="1"/>
  <c r="E37" i="12"/>
  <c r="E20" i="12" s="1"/>
  <c r="F36" i="12"/>
  <c r="F10" i="12" s="1"/>
  <c r="H36" i="12"/>
  <c r="H10" i="12" s="1"/>
  <c r="K36" i="12"/>
  <c r="K19" i="12" s="1"/>
  <c r="L36" i="12"/>
  <c r="L19" i="12" s="1"/>
  <c r="M36" i="12"/>
  <c r="M10" i="12" s="1"/>
  <c r="N36" i="12"/>
  <c r="N19" i="12" s="1"/>
  <c r="O36" i="12"/>
  <c r="O19" i="12" s="1"/>
  <c r="Q36" i="12"/>
  <c r="Q10" i="12" s="1"/>
  <c r="R36" i="12"/>
  <c r="R10" i="12" s="1"/>
  <c r="T36" i="12"/>
  <c r="T19" i="12" s="1"/>
  <c r="U36" i="12"/>
  <c r="U19" i="12" s="1"/>
  <c r="W36" i="12"/>
  <c r="X36" i="12"/>
  <c r="X10" i="12" s="1"/>
  <c r="Y36" i="12"/>
  <c r="Y10" i="12" s="1"/>
  <c r="Z36" i="12"/>
  <c r="Z19" i="12" s="1"/>
  <c r="AA36" i="12"/>
  <c r="AA19" i="12" s="1"/>
  <c r="AC36" i="12"/>
  <c r="AC10" i="12" s="1"/>
  <c r="AD36" i="12"/>
  <c r="AD19" i="12" s="1"/>
  <c r="AE36" i="12"/>
  <c r="AE10" i="12" s="1"/>
  <c r="AF36" i="12"/>
  <c r="AF10" i="12" s="1"/>
  <c r="AG36" i="12"/>
  <c r="AG19" i="12" s="1"/>
  <c r="E36" i="12"/>
  <c r="E10" i="12" s="1"/>
  <c r="F34" i="12"/>
  <c r="F8" i="12" s="1"/>
  <c r="H34" i="12"/>
  <c r="H8" i="12" s="1"/>
  <c r="I34" i="12"/>
  <c r="I8" i="12" s="1"/>
  <c r="K34" i="12"/>
  <c r="K17" i="12" s="1"/>
  <c r="L34" i="12"/>
  <c r="L8" i="12" s="1"/>
  <c r="M34" i="12"/>
  <c r="M17" i="12" s="1"/>
  <c r="N34" i="12"/>
  <c r="N17" i="12" s="1"/>
  <c r="Q34" i="12"/>
  <c r="Q8" i="12" s="1"/>
  <c r="R34" i="12"/>
  <c r="R8" i="12" s="1"/>
  <c r="T34" i="12"/>
  <c r="T8" i="12" s="1"/>
  <c r="U34" i="12"/>
  <c r="U17" i="12" s="1"/>
  <c r="W34" i="12"/>
  <c r="X34" i="12"/>
  <c r="X17" i="12" s="1"/>
  <c r="Y34" i="12"/>
  <c r="Y8" i="12" s="1"/>
  <c r="Z34" i="12"/>
  <c r="Z8" i="12" s="1"/>
  <c r="AA34" i="12"/>
  <c r="AA8" i="12" s="1"/>
  <c r="AC34" i="12"/>
  <c r="AC8" i="12" s="1"/>
  <c r="AD34" i="12"/>
  <c r="AD17" i="12" s="1"/>
  <c r="AE34" i="12"/>
  <c r="AF34" i="12"/>
  <c r="AF8" i="12" s="1"/>
  <c r="AG34" i="12"/>
  <c r="AG8" i="12" s="1"/>
  <c r="E34" i="12"/>
  <c r="E17" i="12" s="1"/>
  <c r="F33" i="12"/>
  <c r="F7" i="12" s="1"/>
  <c r="H33" i="12"/>
  <c r="H16" i="12" s="1"/>
  <c r="I33" i="12"/>
  <c r="I7" i="12" s="1"/>
  <c r="K33" i="12"/>
  <c r="K16" i="12" s="1"/>
  <c r="L33" i="12"/>
  <c r="L7" i="12" s="1"/>
  <c r="M33" i="12"/>
  <c r="M16" i="12" s="1"/>
  <c r="N33" i="12"/>
  <c r="N16" i="12" s="1"/>
  <c r="Q33" i="12"/>
  <c r="Q16" i="12" s="1"/>
  <c r="R33" i="12"/>
  <c r="R16" i="12" s="1"/>
  <c r="T33" i="12"/>
  <c r="T7" i="12" s="1"/>
  <c r="U33" i="12"/>
  <c r="U16" i="12" s="1"/>
  <c r="W33" i="12"/>
  <c r="X33" i="12"/>
  <c r="X7" i="12" s="1"/>
  <c r="Y33" i="12"/>
  <c r="Y16" i="12" s="1"/>
  <c r="Z33" i="12"/>
  <c r="Z7" i="12" s="1"/>
  <c r="AA33" i="12"/>
  <c r="AA7" i="12" s="1"/>
  <c r="AC33" i="12"/>
  <c r="AC7" i="12" s="1"/>
  <c r="AD33" i="12"/>
  <c r="AE33" i="12"/>
  <c r="AE7" i="12" s="1"/>
  <c r="AF33" i="12"/>
  <c r="AF7" i="12" s="1"/>
  <c r="AG33" i="12"/>
  <c r="AG16" i="12" s="1"/>
  <c r="E33" i="12"/>
  <c r="E7" i="12" s="1"/>
  <c r="F31" i="12"/>
  <c r="F14" i="12" s="1"/>
  <c r="H31" i="12"/>
  <c r="H5" i="12" s="1"/>
  <c r="I31" i="12"/>
  <c r="I5" i="12" s="1"/>
  <c r="K31" i="12"/>
  <c r="K14" i="12" s="1"/>
  <c r="L31" i="12"/>
  <c r="L5" i="12" s="1"/>
  <c r="M5" i="12"/>
  <c r="N31" i="12"/>
  <c r="N14" i="12" s="1"/>
  <c r="O31" i="12"/>
  <c r="O14" i="12" s="1"/>
  <c r="R31" i="12"/>
  <c r="R14" i="12" s="1"/>
  <c r="T31" i="12"/>
  <c r="T14" i="12" s="1"/>
  <c r="U31" i="12"/>
  <c r="U5" i="12" s="1"/>
  <c r="W31" i="12"/>
  <c r="W14" i="12" s="1"/>
  <c r="X31" i="12"/>
  <c r="X5" i="12" s="1"/>
  <c r="Y31" i="12"/>
  <c r="Y5" i="12" s="1"/>
  <c r="Z31" i="12"/>
  <c r="Z5" i="12" s="1"/>
  <c r="AA31" i="12"/>
  <c r="AA5" i="12" s="1"/>
  <c r="AC31" i="12"/>
  <c r="AC5" i="12" s="1"/>
  <c r="AD31" i="12"/>
  <c r="AD5" i="12" s="1"/>
  <c r="AE31" i="12"/>
  <c r="AE5" i="12" s="1"/>
  <c r="AF31" i="12"/>
  <c r="AF5" i="12" s="1"/>
  <c r="AG31" i="12"/>
  <c r="AG14" i="12" s="1"/>
  <c r="F30" i="12"/>
  <c r="F13" i="12" s="1"/>
  <c r="I30" i="12"/>
  <c r="I4" i="12" s="1"/>
  <c r="K30" i="12"/>
  <c r="K4" i="12" s="1"/>
  <c r="L30" i="12"/>
  <c r="L4" i="12" s="1"/>
  <c r="M4" i="12"/>
  <c r="N30" i="12"/>
  <c r="N13" i="12" s="1"/>
  <c r="O30" i="12"/>
  <c r="O13" i="12" s="1"/>
  <c r="R30" i="12"/>
  <c r="R13" i="12" s="1"/>
  <c r="T30" i="12"/>
  <c r="T13" i="12" s="1"/>
  <c r="U30" i="12"/>
  <c r="U13" i="12" s="1"/>
  <c r="W30" i="12"/>
  <c r="W13" i="12" s="1"/>
  <c r="X30" i="12"/>
  <c r="X13" i="12" s="1"/>
  <c r="Y30" i="12"/>
  <c r="Y4" i="12" s="1"/>
  <c r="Z30" i="12"/>
  <c r="Z13" i="12" s="1"/>
  <c r="AA30" i="12"/>
  <c r="AA13" i="12" s="1"/>
  <c r="AC30" i="12"/>
  <c r="AC4" i="12" s="1"/>
  <c r="AD30" i="12"/>
  <c r="AD13" i="12" s="1"/>
  <c r="AE30" i="12"/>
  <c r="AE4" i="12" s="1"/>
  <c r="AF30" i="12"/>
  <c r="AF4" i="12" s="1"/>
  <c r="AG30" i="12"/>
  <c r="AG13" i="12" s="1"/>
  <c r="AB29" i="12"/>
  <c r="AB12" i="12" s="1"/>
  <c r="V29" i="12"/>
  <c r="V3" i="12" s="1"/>
  <c r="D32" i="12"/>
  <c r="D6" i="12" s="1"/>
  <c r="D35" i="12"/>
  <c r="D9" i="12" s="1"/>
  <c r="AL19" i="1" l="1"/>
  <c r="AP19" i="1"/>
  <c r="D19" i="1"/>
  <c r="N19" i="1"/>
  <c r="R19" i="1"/>
  <c r="P19" i="1"/>
  <c r="J19" i="1"/>
  <c r="L19" i="1"/>
  <c r="H19" i="1"/>
  <c r="F39" i="1"/>
  <c r="D39" i="1"/>
  <c r="F19" i="1"/>
  <c r="B39" i="1"/>
  <c r="B50" i="1"/>
  <c r="B49" i="1"/>
  <c r="C49" i="1"/>
  <c r="M20" i="1"/>
  <c r="C46" i="1" s="1"/>
  <c r="G20" i="1"/>
  <c r="C45" i="1" s="1"/>
  <c r="B19" i="1"/>
  <c r="A20" i="1" s="1"/>
  <c r="C44" i="1" s="1"/>
  <c r="J37" i="12"/>
  <c r="J36" i="12"/>
  <c r="J33" i="12"/>
  <c r="J34" i="12"/>
  <c r="J31" i="12"/>
  <c r="J5" i="12" s="1"/>
  <c r="J30" i="12"/>
  <c r="S4" i="12"/>
  <c r="S5" i="12"/>
  <c r="R11" i="12"/>
  <c r="R7" i="12"/>
  <c r="R5" i="12"/>
  <c r="R19" i="12"/>
  <c r="R17" i="12"/>
  <c r="F19" i="12"/>
  <c r="R4" i="12"/>
  <c r="D31" i="12"/>
  <c r="D5" i="12" s="1"/>
  <c r="F17" i="12"/>
  <c r="H11" i="12"/>
  <c r="E11" i="12"/>
  <c r="X8" i="12"/>
  <c r="I20" i="12"/>
  <c r="F4" i="12"/>
  <c r="D30" i="12"/>
  <c r="K10" i="12"/>
  <c r="AG7" i="12"/>
  <c r="AG17" i="12"/>
  <c r="F20" i="12"/>
  <c r="E19" i="12"/>
  <c r="F5" i="12"/>
  <c r="I16" i="12"/>
  <c r="AG20" i="12"/>
  <c r="AF17" i="12"/>
  <c r="AB3" i="12"/>
  <c r="P30" i="12"/>
  <c r="P13" i="12" s="1"/>
  <c r="P31" i="12"/>
  <c r="H17" i="12"/>
  <c r="D33" i="12"/>
  <c r="D7" i="12" s="1"/>
  <c r="P12" i="12"/>
  <c r="U8" i="12"/>
  <c r="I14" i="12"/>
  <c r="H14" i="12"/>
  <c r="F16" i="12"/>
  <c r="N7" i="12"/>
  <c r="L13" i="12"/>
  <c r="N4" i="12"/>
  <c r="E5" i="12"/>
  <c r="T4" i="12"/>
  <c r="O4" i="12"/>
  <c r="G5" i="12"/>
  <c r="N8" i="12"/>
  <c r="K8" i="12"/>
  <c r="L14" i="12"/>
  <c r="E4" i="12"/>
  <c r="T11" i="12"/>
  <c r="O11" i="12"/>
  <c r="N11" i="12"/>
  <c r="K11" i="12"/>
  <c r="L16" i="12"/>
  <c r="G4" i="12"/>
  <c r="M7" i="12"/>
  <c r="K13" i="12"/>
  <c r="H7" i="12"/>
  <c r="AG5" i="12"/>
  <c r="X4" i="12"/>
  <c r="U4" i="12"/>
  <c r="V36" i="12"/>
  <c r="V10" i="12" s="1"/>
  <c r="Z20" i="12"/>
  <c r="Z17" i="12"/>
  <c r="Y17" i="12"/>
  <c r="Y7" i="12"/>
  <c r="T17" i="12"/>
  <c r="L20" i="12"/>
  <c r="AG10" i="12"/>
  <c r="W5" i="12"/>
  <c r="X16" i="12"/>
  <c r="U20" i="12"/>
  <c r="AA10" i="12"/>
  <c r="D37" i="12"/>
  <c r="D11" i="12" s="1"/>
  <c r="Z10" i="12"/>
  <c r="O5" i="12"/>
  <c r="P18" i="12"/>
  <c r="V34" i="12"/>
  <c r="V8" i="12" s="1"/>
  <c r="U10" i="12"/>
  <c r="K5" i="12"/>
  <c r="X19" i="12"/>
  <c r="E16" i="12"/>
  <c r="J10" i="12"/>
  <c r="T10" i="12"/>
  <c r="W19" i="12"/>
  <c r="V33" i="12"/>
  <c r="V7" i="12" s="1"/>
  <c r="X11" i="12"/>
  <c r="T5" i="12"/>
  <c r="N5" i="12"/>
  <c r="Y19" i="12"/>
  <c r="O10" i="12"/>
  <c r="Z14" i="12"/>
  <c r="AB9" i="12"/>
  <c r="J11" i="12"/>
  <c r="N10" i="12"/>
  <c r="AG4" i="12"/>
  <c r="U14" i="12"/>
  <c r="Y13" i="12"/>
  <c r="AB34" i="12"/>
  <c r="AB8" i="12" s="1"/>
  <c r="L10" i="12"/>
  <c r="AA4" i="12"/>
  <c r="V30" i="12"/>
  <c r="V13" i="12" s="1"/>
  <c r="U7" i="12"/>
  <c r="AB33" i="12"/>
  <c r="AB7" i="12" s="1"/>
  <c r="Z4" i="12"/>
  <c r="K7" i="12"/>
  <c r="J16" i="12"/>
  <c r="J17" i="12"/>
  <c r="L26" i="14"/>
  <c r="L23" i="14"/>
  <c r="L20" i="14"/>
  <c r="L42" i="14"/>
  <c r="L17" i="14"/>
  <c r="V27" i="14"/>
  <c r="V19" i="14"/>
  <c r="V11" i="14"/>
  <c r="V40" i="14"/>
  <c r="V24" i="14"/>
  <c r="V16" i="14"/>
  <c r="V25" i="14"/>
  <c r="L22" i="14"/>
  <c r="L37" i="14"/>
  <c r="L21" i="14"/>
  <c r="L13" i="14"/>
  <c r="J13" i="14"/>
  <c r="J5" i="14"/>
  <c r="J4" i="14"/>
  <c r="M7" i="13"/>
  <c r="E7" i="13"/>
  <c r="G7" i="13"/>
  <c r="J7" i="13"/>
  <c r="M6" i="13"/>
  <c r="E6" i="13"/>
  <c r="G6" i="13"/>
  <c r="J6" i="13"/>
  <c r="J9" i="13"/>
  <c r="M9" i="13"/>
  <c r="E9" i="13"/>
  <c r="G9" i="13"/>
  <c r="M5" i="13"/>
  <c r="E5" i="13"/>
  <c r="G5" i="13"/>
  <c r="J5" i="13"/>
  <c r="E20" i="13"/>
  <c r="G20" i="13"/>
  <c r="J20" i="13"/>
  <c r="M20" i="13"/>
  <c r="G18" i="13"/>
  <c r="J18" i="13"/>
  <c r="M18" i="13"/>
  <c r="E18" i="13"/>
  <c r="J14" i="13"/>
  <c r="M14" i="13"/>
  <c r="G14" i="13"/>
  <c r="E14" i="13"/>
  <c r="E21" i="13"/>
  <c r="G21" i="13"/>
  <c r="J21" i="13"/>
  <c r="M21" i="13"/>
  <c r="J8" i="13"/>
  <c r="M8" i="13"/>
  <c r="E8" i="13"/>
  <c r="G8" i="13"/>
  <c r="AB30" i="12"/>
  <c r="W10" i="12"/>
  <c r="AE8" i="12"/>
  <c r="W4" i="12"/>
  <c r="AF16" i="12"/>
  <c r="E15" i="13"/>
  <c r="AB31" i="12"/>
  <c r="P37" i="12"/>
  <c r="D3" i="12"/>
  <c r="Q11" i="12"/>
  <c r="AD8" i="12"/>
  <c r="E8" i="12"/>
  <c r="Q5" i="12"/>
  <c r="D18" i="12"/>
  <c r="AA17" i="12"/>
  <c r="AE16" i="12"/>
  <c r="G10" i="13"/>
  <c r="AC17" i="12"/>
  <c r="P36" i="12"/>
  <c r="M20" i="12"/>
  <c r="Q19" i="12"/>
  <c r="V18" i="12"/>
  <c r="AD16" i="12"/>
  <c r="J15" i="12"/>
  <c r="M14" i="12"/>
  <c r="Q13" i="12"/>
  <c r="V12" i="12"/>
  <c r="AC16" i="12"/>
  <c r="E12" i="13"/>
  <c r="J4" i="13"/>
  <c r="P34" i="12"/>
  <c r="D15" i="12"/>
  <c r="M3" i="13"/>
  <c r="D34" i="12"/>
  <c r="P33" i="12"/>
  <c r="AD7" i="12"/>
  <c r="Q4" i="12"/>
  <c r="W17" i="12"/>
  <c r="AA16" i="12"/>
  <c r="E10" i="13"/>
  <c r="M22" i="13"/>
  <c r="M19" i="12"/>
  <c r="Z16" i="12"/>
  <c r="M13" i="12"/>
  <c r="J3" i="13"/>
  <c r="M19" i="13"/>
  <c r="W8" i="12"/>
  <c r="AF20" i="12"/>
  <c r="AB15" i="12"/>
  <c r="AF14" i="12"/>
  <c r="V37" i="12"/>
  <c r="AE20" i="12"/>
  <c r="W16" i="12"/>
  <c r="AE14" i="12"/>
  <c r="J22" i="13"/>
  <c r="M17" i="13"/>
  <c r="AD20" i="12"/>
  <c r="Q17" i="12"/>
  <c r="AD14" i="12"/>
  <c r="AC20" i="12"/>
  <c r="I19" i="12"/>
  <c r="AC14" i="12"/>
  <c r="I13" i="12"/>
  <c r="E4" i="13"/>
  <c r="M16" i="13"/>
  <c r="D36" i="12"/>
  <c r="W7" i="12"/>
  <c r="AF19" i="12"/>
  <c r="H19" i="12"/>
  <c r="O17" i="12"/>
  <c r="T16" i="12"/>
  <c r="AF13" i="12"/>
  <c r="H13" i="12"/>
  <c r="G3" i="13"/>
  <c r="J19" i="13"/>
  <c r="M15" i="13"/>
  <c r="AA20" i="12"/>
  <c r="AE19" i="12"/>
  <c r="AA14" i="12"/>
  <c r="AE13" i="12"/>
  <c r="G22" i="13"/>
  <c r="J17" i="13"/>
  <c r="M13" i="13"/>
  <c r="V31" i="12"/>
  <c r="Y20" i="12"/>
  <c r="AC19" i="12"/>
  <c r="L17" i="12"/>
  <c r="Y14" i="12"/>
  <c r="AC13" i="12"/>
  <c r="M12" i="13"/>
  <c r="AE17" i="12"/>
  <c r="O16" i="12"/>
  <c r="X14" i="12"/>
  <c r="AB37" i="12"/>
  <c r="AD10" i="12"/>
  <c r="J9" i="12"/>
  <c r="M8" i="12"/>
  <c r="Q7" i="12"/>
  <c r="V6" i="12"/>
  <c r="AD4" i="12"/>
  <c r="J3" i="12"/>
  <c r="W20" i="12"/>
  <c r="AB36" i="12"/>
  <c r="G17" i="13"/>
  <c r="J13" i="13"/>
  <c r="I17" i="12"/>
  <c r="P15" i="12"/>
  <c r="G16" i="13"/>
  <c r="J12" i="13"/>
  <c r="Q4" i="11"/>
  <c r="R4" i="11"/>
  <c r="S4" i="11"/>
  <c r="T4" i="11"/>
  <c r="Q5" i="11"/>
  <c r="R5" i="11"/>
  <c r="S5" i="11"/>
  <c r="Q6" i="11"/>
  <c r="Q7" i="11"/>
  <c r="Q8" i="11"/>
  <c r="T8" i="11"/>
  <c r="T3" i="11"/>
  <c r="Q3" i="11"/>
  <c r="J4" i="11"/>
  <c r="K4" i="11"/>
  <c r="L4" i="11"/>
  <c r="M4" i="11"/>
  <c r="J5" i="11"/>
  <c r="K5" i="11"/>
  <c r="L5" i="11"/>
  <c r="J6" i="11"/>
  <c r="J7" i="11"/>
  <c r="J8" i="11"/>
  <c r="M8" i="11"/>
  <c r="M3" i="11"/>
  <c r="J3" i="11"/>
  <c r="U4" i="11"/>
  <c r="U5" i="11"/>
  <c r="U6" i="11"/>
  <c r="U7" i="11"/>
  <c r="U8" i="11"/>
  <c r="U3" i="11"/>
  <c r="N4" i="11"/>
  <c r="N5" i="11"/>
  <c r="N6" i="11"/>
  <c r="N7" i="11"/>
  <c r="N8" i="11"/>
  <c r="N3" i="11"/>
  <c r="F4" i="11"/>
  <c r="F5" i="11"/>
  <c r="T5" i="11" s="1"/>
  <c r="F6" i="11"/>
  <c r="T6" i="11" s="1"/>
  <c r="F7" i="11"/>
  <c r="T7" i="11" s="1"/>
  <c r="F8" i="11"/>
  <c r="F3" i="11"/>
  <c r="E4" i="11"/>
  <c r="E5" i="11"/>
  <c r="E6" i="11"/>
  <c r="S6" i="11" s="1"/>
  <c r="E7" i="11"/>
  <c r="S7" i="11" s="1"/>
  <c r="E8" i="11"/>
  <c r="S8" i="11" s="1"/>
  <c r="E3" i="11"/>
  <c r="S3" i="11" s="1"/>
  <c r="B4" i="11"/>
  <c r="B5" i="11"/>
  <c r="B6" i="11"/>
  <c r="B7" i="11"/>
  <c r="B8" i="11"/>
  <c r="B3" i="11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" i="10"/>
  <c r="Q3" i="10"/>
  <c r="M10" i="10"/>
  <c r="O10" i="10" s="1"/>
  <c r="M11" i="10"/>
  <c r="N11" i="10" s="1"/>
  <c r="M12" i="10"/>
  <c r="N12" i="10" s="1"/>
  <c r="M13" i="10"/>
  <c r="N13" i="10" s="1"/>
  <c r="M14" i="10"/>
  <c r="N14" i="10" s="1"/>
  <c r="M15" i="10"/>
  <c r="O15" i="10" s="1"/>
  <c r="M16" i="10"/>
  <c r="O16" i="10" s="1"/>
  <c r="M17" i="10"/>
  <c r="O17" i="10" s="1"/>
  <c r="M18" i="10"/>
  <c r="N18" i="10" s="1"/>
  <c r="M19" i="10"/>
  <c r="O19" i="10" s="1"/>
  <c r="M20" i="10"/>
  <c r="O20" i="10" s="1"/>
  <c r="M21" i="10"/>
  <c r="O21" i="10" s="1"/>
  <c r="M22" i="10"/>
  <c r="N22" i="10" s="1"/>
  <c r="M23" i="10"/>
  <c r="N23" i="10" s="1"/>
  <c r="M24" i="10"/>
  <c r="N24" i="10" s="1"/>
  <c r="M25" i="10"/>
  <c r="N25" i="10" s="1"/>
  <c r="M26" i="10"/>
  <c r="N26" i="10" s="1"/>
  <c r="M27" i="10"/>
  <c r="N27" i="10" s="1"/>
  <c r="M28" i="10"/>
  <c r="N28" i="10" s="1"/>
  <c r="M29" i="10"/>
  <c r="N29" i="10" s="1"/>
  <c r="M30" i="10"/>
  <c r="N30" i="10" s="1"/>
  <c r="M31" i="10"/>
  <c r="N31" i="10" s="1"/>
  <c r="M32" i="10"/>
  <c r="O32" i="10" s="1"/>
  <c r="M33" i="10"/>
  <c r="O33" i="10" s="1"/>
  <c r="M34" i="10"/>
  <c r="N34" i="10" s="1"/>
  <c r="M35" i="10"/>
  <c r="N35" i="10" s="1"/>
  <c r="M36" i="10"/>
  <c r="N36" i="10" s="1"/>
  <c r="M37" i="10"/>
  <c r="N37" i="10" s="1"/>
  <c r="M38" i="10"/>
  <c r="O38" i="10" s="1"/>
  <c r="M39" i="10"/>
  <c r="O39" i="10" s="1"/>
  <c r="M40" i="10"/>
  <c r="O40" i="10" s="1"/>
  <c r="M41" i="10"/>
  <c r="O41" i="10" s="1"/>
  <c r="M42" i="10"/>
  <c r="O42" i="10" s="1"/>
  <c r="M4" i="10"/>
  <c r="N4" i="10" s="1"/>
  <c r="M5" i="10"/>
  <c r="N5" i="10" s="1"/>
  <c r="M6" i="10"/>
  <c r="N6" i="10" s="1"/>
  <c r="M7" i="10"/>
  <c r="N7" i="10" s="1"/>
  <c r="M8" i="10"/>
  <c r="N8" i="10" s="1"/>
  <c r="M9" i="10"/>
  <c r="N9" i="10" s="1"/>
  <c r="M3" i="10"/>
  <c r="N3" i="10" s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AC5" i="7"/>
  <c r="AB6" i="7"/>
  <c r="Z3" i="7"/>
  <c r="Y3" i="7"/>
  <c r="M10" i="7"/>
  <c r="O3" i="7"/>
  <c r="N3" i="7"/>
  <c r="M3" i="7"/>
  <c r="L3" i="7"/>
  <c r="K3" i="7"/>
  <c r="D3" i="7"/>
  <c r="O14" i="6"/>
  <c r="AC14" i="6" s="1"/>
  <c r="AC3" i="7" s="1"/>
  <c r="O15" i="6"/>
  <c r="O16" i="6"/>
  <c r="AC16" i="6" s="1"/>
  <c r="O17" i="6"/>
  <c r="AC17" i="6" s="1"/>
  <c r="O18" i="6"/>
  <c r="AC18" i="6" s="1"/>
  <c r="O21" i="6"/>
  <c r="AC21" i="6" s="1"/>
  <c r="O23" i="6"/>
  <c r="AC23" i="6" s="1"/>
  <c r="O38" i="6"/>
  <c r="AC38" i="6" s="1"/>
  <c r="O39" i="6"/>
  <c r="AC39" i="6" s="1"/>
  <c r="O40" i="6"/>
  <c r="AC40" i="6" s="1"/>
  <c r="O41" i="6"/>
  <c r="AC41" i="6" s="1"/>
  <c r="O42" i="6"/>
  <c r="AC42" i="6" s="1"/>
  <c r="M4" i="6"/>
  <c r="M5" i="6"/>
  <c r="N5" i="6" s="1"/>
  <c r="M6" i="6"/>
  <c r="M7" i="6"/>
  <c r="N7" i="6" s="1"/>
  <c r="M8" i="6"/>
  <c r="M9" i="6"/>
  <c r="M10" i="6"/>
  <c r="AA10" i="6" s="1"/>
  <c r="M11" i="6"/>
  <c r="M12" i="6"/>
  <c r="M13" i="6"/>
  <c r="M14" i="6"/>
  <c r="M15" i="6"/>
  <c r="M16" i="6"/>
  <c r="M17" i="6"/>
  <c r="AA17" i="6" s="1"/>
  <c r="M18" i="6"/>
  <c r="AA18" i="6" s="1"/>
  <c r="M19" i="6"/>
  <c r="N19" i="6" s="1"/>
  <c r="AB19" i="6" s="1"/>
  <c r="M20" i="6"/>
  <c r="N20" i="6" s="1"/>
  <c r="AB20" i="6" s="1"/>
  <c r="AB4" i="7" s="1"/>
  <c r="M21" i="6"/>
  <c r="AA21" i="6" s="1"/>
  <c r="M22" i="6"/>
  <c r="N22" i="6" s="1"/>
  <c r="AB22" i="6" s="1"/>
  <c r="M23" i="6"/>
  <c r="N23" i="6" s="1"/>
  <c r="AB23" i="6" s="1"/>
  <c r="AB5" i="7" s="1"/>
  <c r="M24" i="6"/>
  <c r="AA24" i="6" s="1"/>
  <c r="M25" i="6"/>
  <c r="N25" i="6" s="1"/>
  <c r="AB25" i="6" s="1"/>
  <c r="M26" i="6"/>
  <c r="AA26" i="6" s="1"/>
  <c r="M27" i="6"/>
  <c r="N27" i="6" s="1"/>
  <c r="AB27" i="6" s="1"/>
  <c r="M28" i="6"/>
  <c r="M7" i="7" s="1"/>
  <c r="M29" i="6"/>
  <c r="M30" i="6"/>
  <c r="M8" i="7" s="1"/>
  <c r="M31" i="6"/>
  <c r="M9" i="7" s="1"/>
  <c r="M32" i="6"/>
  <c r="M33" i="6"/>
  <c r="M34" i="6"/>
  <c r="M35" i="6"/>
  <c r="M36" i="6"/>
  <c r="M37" i="6"/>
  <c r="AA37" i="6" s="1"/>
  <c r="M38" i="6"/>
  <c r="AA38" i="6" s="1"/>
  <c r="M39" i="6"/>
  <c r="AA39" i="6" s="1"/>
  <c r="M40" i="6"/>
  <c r="M41" i="6"/>
  <c r="M42" i="6"/>
  <c r="N42" i="6" s="1"/>
  <c r="AB42" i="6" s="1"/>
  <c r="Z10" i="7"/>
  <c r="Y10" i="7"/>
  <c r="L10" i="7"/>
  <c r="K10" i="7"/>
  <c r="D10" i="7"/>
  <c r="Z9" i="7"/>
  <c r="Y9" i="7"/>
  <c r="L9" i="7"/>
  <c r="K9" i="7"/>
  <c r="J9" i="7"/>
  <c r="D9" i="7"/>
  <c r="Z8" i="7"/>
  <c r="Y8" i="7"/>
  <c r="L8" i="7"/>
  <c r="K8" i="7"/>
  <c r="J8" i="7"/>
  <c r="D8" i="7"/>
  <c r="Z7" i="7"/>
  <c r="Y7" i="7"/>
  <c r="L7" i="7"/>
  <c r="K7" i="7"/>
  <c r="D7" i="7"/>
  <c r="Z6" i="7"/>
  <c r="Y6" i="7"/>
  <c r="L6" i="7"/>
  <c r="K6" i="7"/>
  <c r="D6" i="7"/>
  <c r="Z5" i="7"/>
  <c r="Y5" i="7"/>
  <c r="L5" i="7"/>
  <c r="K5" i="7"/>
  <c r="J5" i="7"/>
  <c r="D5" i="7"/>
  <c r="Z4" i="7"/>
  <c r="Y4" i="7"/>
  <c r="L4" i="7"/>
  <c r="K4" i="7"/>
  <c r="D4" i="7"/>
  <c r="N4" i="6"/>
  <c r="N6" i="6"/>
  <c r="N8" i="6"/>
  <c r="N9" i="6"/>
  <c r="N10" i="6"/>
  <c r="AB10" i="6" s="1"/>
  <c r="N11" i="6"/>
  <c r="AB11" i="6" s="1"/>
  <c r="N12" i="6"/>
  <c r="AB12" i="6" s="1"/>
  <c r="N13" i="6"/>
  <c r="AB13" i="6" s="1"/>
  <c r="N14" i="6"/>
  <c r="AB14" i="6" s="1"/>
  <c r="AB3" i="7" s="1"/>
  <c r="N15" i="6"/>
  <c r="N16" i="6"/>
  <c r="AB16" i="6" s="1"/>
  <c r="N17" i="6"/>
  <c r="AB17" i="6" s="1"/>
  <c r="N28" i="6"/>
  <c r="N7" i="7" s="1"/>
  <c r="N29" i="6"/>
  <c r="N30" i="6"/>
  <c r="AB30" i="6" s="1"/>
  <c r="N31" i="6"/>
  <c r="AB31" i="6" s="1"/>
  <c r="AB8" i="7" s="1"/>
  <c r="N32" i="6"/>
  <c r="AB32" i="6" s="1"/>
  <c r="AB9" i="7" s="1"/>
  <c r="N33" i="6"/>
  <c r="AB33" i="6" s="1"/>
  <c r="AB10" i="7" s="1"/>
  <c r="N34" i="6"/>
  <c r="AB34" i="6" s="1"/>
  <c r="N35" i="6"/>
  <c r="AB35" i="6" s="1"/>
  <c r="N36" i="6"/>
  <c r="AB36" i="6" s="1"/>
  <c r="N37" i="6"/>
  <c r="AB37" i="6" s="1"/>
  <c r="N38" i="6"/>
  <c r="AB38" i="6" s="1"/>
  <c r="N39" i="6"/>
  <c r="AB39" i="6" s="1"/>
  <c r="N40" i="6"/>
  <c r="AB40" i="6" s="1"/>
  <c r="N41" i="6"/>
  <c r="AB41" i="6" s="1"/>
  <c r="AA8" i="6"/>
  <c r="AB8" i="6"/>
  <c r="AA9" i="6"/>
  <c r="AB9" i="6"/>
  <c r="AA11" i="6"/>
  <c r="AA12" i="6"/>
  <c r="AA13" i="6"/>
  <c r="AA14" i="6"/>
  <c r="AA3" i="7" s="1"/>
  <c r="AA15" i="6"/>
  <c r="AB15" i="6"/>
  <c r="AC15" i="6"/>
  <c r="AA16" i="6"/>
  <c r="AA28" i="6"/>
  <c r="AB28" i="6"/>
  <c r="AA29" i="6"/>
  <c r="AA7" i="7" s="1"/>
  <c r="AB29" i="6"/>
  <c r="AB7" i="7" s="1"/>
  <c r="AA30" i="6"/>
  <c r="AA31" i="6"/>
  <c r="AA8" i="7" s="1"/>
  <c r="AA32" i="6"/>
  <c r="AA9" i="7" s="1"/>
  <c r="AA33" i="6"/>
  <c r="AA10" i="7" s="1"/>
  <c r="AA34" i="6"/>
  <c r="AA35" i="6"/>
  <c r="AA36" i="6"/>
  <c r="AA40" i="6"/>
  <c r="AA41" i="6"/>
  <c r="F4" i="6"/>
  <c r="O4" i="6" s="1"/>
  <c r="F5" i="6"/>
  <c r="O5" i="6" s="1"/>
  <c r="F6" i="6"/>
  <c r="O6" i="6" s="1"/>
  <c r="F7" i="6"/>
  <c r="O7" i="6" s="1"/>
  <c r="F8" i="6"/>
  <c r="O8" i="6" s="1"/>
  <c r="AC8" i="6" s="1"/>
  <c r="F9" i="6"/>
  <c r="O9" i="6" s="1"/>
  <c r="AC9" i="6" s="1"/>
  <c r="F10" i="6"/>
  <c r="O10" i="6" s="1"/>
  <c r="AC10" i="6" s="1"/>
  <c r="F11" i="6"/>
  <c r="O11" i="6" s="1"/>
  <c r="AC11" i="6" s="1"/>
  <c r="F12" i="6"/>
  <c r="O12" i="6" s="1"/>
  <c r="AC12" i="6" s="1"/>
  <c r="F13" i="6"/>
  <c r="O13" i="6" s="1"/>
  <c r="AC13" i="6" s="1"/>
  <c r="F14" i="6"/>
  <c r="F3" i="7" s="1"/>
  <c r="F15" i="6"/>
  <c r="F16" i="6"/>
  <c r="F17" i="6"/>
  <c r="F18" i="6"/>
  <c r="F19" i="6"/>
  <c r="O19" i="6" s="1"/>
  <c r="F20" i="6"/>
  <c r="O20" i="6" s="1"/>
  <c r="AC20" i="6" s="1"/>
  <c r="AC4" i="7" s="1"/>
  <c r="F21" i="6"/>
  <c r="F22" i="6"/>
  <c r="O22" i="6" s="1"/>
  <c r="F23" i="6"/>
  <c r="F24" i="6"/>
  <c r="O24" i="6" s="1"/>
  <c r="AC24" i="6" s="1"/>
  <c r="F25" i="6"/>
  <c r="O25" i="6" s="1"/>
  <c r="AC25" i="6" s="1"/>
  <c r="F26" i="6"/>
  <c r="O26" i="6" s="1"/>
  <c r="F27" i="6"/>
  <c r="O27" i="6" s="1"/>
  <c r="AC27" i="6" s="1"/>
  <c r="AC6" i="7" s="1"/>
  <c r="F28" i="6"/>
  <c r="O28" i="6" s="1"/>
  <c r="F29" i="6"/>
  <c r="O29" i="6" s="1"/>
  <c r="AC29" i="6" s="1"/>
  <c r="AC7" i="7" s="1"/>
  <c r="F30" i="6"/>
  <c r="O30" i="6" s="1"/>
  <c r="F31" i="6"/>
  <c r="O31" i="6" s="1"/>
  <c r="F32" i="6"/>
  <c r="O32" i="6" s="1"/>
  <c r="F33" i="6"/>
  <c r="O33" i="6" s="1"/>
  <c r="AC33" i="6" s="1"/>
  <c r="AC10" i="7" s="1"/>
  <c r="F34" i="6"/>
  <c r="O34" i="6" s="1"/>
  <c r="AC34" i="6" s="1"/>
  <c r="F35" i="6"/>
  <c r="O35" i="6" s="1"/>
  <c r="AC35" i="6" s="1"/>
  <c r="F36" i="6"/>
  <c r="O36" i="6" s="1"/>
  <c r="AC36" i="6" s="1"/>
  <c r="F37" i="6"/>
  <c r="O37" i="6" s="1"/>
  <c r="AC37" i="6" s="1"/>
  <c r="F38" i="6"/>
  <c r="F39" i="6"/>
  <c r="F40" i="6"/>
  <c r="F41" i="6"/>
  <c r="F42" i="6"/>
  <c r="F3" i="6"/>
  <c r="O3" i="6" s="1"/>
  <c r="J23" i="3"/>
  <c r="J24" i="3"/>
  <c r="J25" i="3"/>
  <c r="J26" i="3"/>
  <c r="J6" i="7" s="1"/>
  <c r="J27" i="3"/>
  <c r="J28" i="3"/>
  <c r="J7" i="7" s="1"/>
  <c r="J29" i="3"/>
  <c r="J30" i="3"/>
  <c r="J31" i="3"/>
  <c r="J32" i="3"/>
  <c r="J10" i="7" s="1"/>
  <c r="J33" i="3"/>
  <c r="J34" i="3"/>
  <c r="J35" i="3"/>
  <c r="J36" i="3"/>
  <c r="J37" i="3"/>
  <c r="J38" i="3"/>
  <c r="J39" i="3"/>
  <c r="J40" i="3"/>
  <c r="J41" i="3"/>
  <c r="J42" i="3"/>
  <c r="J22" i="3"/>
  <c r="AK20" i="1" l="1"/>
  <c r="C50" i="1" s="1"/>
  <c r="B46" i="1"/>
  <c r="B45" i="1"/>
  <c r="A40" i="1"/>
  <c r="B44" i="1" s="1"/>
  <c r="V16" i="12"/>
  <c r="D14" i="12"/>
  <c r="D16" i="12"/>
  <c r="P4" i="12"/>
  <c r="J8" i="12"/>
  <c r="D20" i="12"/>
  <c r="J14" i="12"/>
  <c r="V19" i="12"/>
  <c r="J20" i="12"/>
  <c r="J19" i="12"/>
  <c r="V4" i="12"/>
  <c r="AB16" i="12"/>
  <c r="AB17" i="12"/>
  <c r="V17" i="12"/>
  <c r="J7" i="12"/>
  <c r="AC22" i="6"/>
  <c r="O5" i="7"/>
  <c r="AC32" i="6"/>
  <c r="AC9" i="7" s="1"/>
  <c r="O10" i="7"/>
  <c r="AC28" i="6"/>
  <c r="O7" i="7"/>
  <c r="AC19" i="6"/>
  <c r="O4" i="7"/>
  <c r="O9" i="7"/>
  <c r="AC31" i="6"/>
  <c r="AC8" i="7" s="1"/>
  <c r="AC30" i="6"/>
  <c r="O8" i="7"/>
  <c r="AC26" i="6"/>
  <c r="O6" i="7"/>
  <c r="S5" i="10"/>
  <c r="D5" i="10" s="1"/>
  <c r="B5" i="10"/>
  <c r="E5" i="10" s="1"/>
  <c r="O4" i="11"/>
  <c r="D10" i="12"/>
  <c r="D19" i="12"/>
  <c r="R25" i="10"/>
  <c r="C25" i="10" s="1"/>
  <c r="B25" i="10"/>
  <c r="N9" i="7"/>
  <c r="R22" i="10"/>
  <c r="C22" i="10" s="1"/>
  <c r="B22" i="10"/>
  <c r="P11" i="12"/>
  <c r="P20" i="12"/>
  <c r="D8" i="12"/>
  <c r="D17" i="12"/>
  <c r="R24" i="10"/>
  <c r="C24" i="10" s="1"/>
  <c r="B24" i="10"/>
  <c r="H4" i="11"/>
  <c r="V14" i="12"/>
  <c r="V5" i="12"/>
  <c r="P5" i="12"/>
  <c r="P14" i="12"/>
  <c r="AB5" i="12"/>
  <c r="AB14" i="12"/>
  <c r="V20" i="12"/>
  <c r="V11" i="12"/>
  <c r="N18" i="6"/>
  <c r="AB18" i="6" s="1"/>
  <c r="R3" i="10"/>
  <c r="C3" i="10" s="1"/>
  <c r="E3" i="10"/>
  <c r="R20" i="10"/>
  <c r="C20" i="10" s="1"/>
  <c r="B20" i="10"/>
  <c r="L3" i="11"/>
  <c r="O5" i="11"/>
  <c r="N3" i="6"/>
  <c r="N8" i="7"/>
  <c r="S4" i="10"/>
  <c r="D4" i="10" s="1"/>
  <c r="B4" i="10"/>
  <c r="R19" i="10"/>
  <c r="C19" i="10" s="1"/>
  <c r="B19" i="10"/>
  <c r="H3" i="11"/>
  <c r="R3" i="11"/>
  <c r="O3" i="11" s="1"/>
  <c r="D4" i="12"/>
  <c r="D13" i="12"/>
  <c r="R42" i="10"/>
  <c r="C42" i="10" s="1"/>
  <c r="B42" i="10"/>
  <c r="R18" i="10"/>
  <c r="C18" i="10" s="1"/>
  <c r="B18" i="10"/>
  <c r="AA42" i="6"/>
  <c r="S41" i="10"/>
  <c r="D41" i="10" s="1"/>
  <c r="B41" i="10"/>
  <c r="E41" i="10" s="1"/>
  <c r="S17" i="10"/>
  <c r="D17" i="10" s="1"/>
  <c r="B17" i="10"/>
  <c r="E17" i="10" s="1"/>
  <c r="L8" i="11"/>
  <c r="AB10" i="12"/>
  <c r="AB19" i="12"/>
  <c r="N10" i="7"/>
  <c r="S40" i="10"/>
  <c r="D40" i="10" s="1"/>
  <c r="B40" i="10"/>
  <c r="S16" i="10"/>
  <c r="D16" i="10" s="1"/>
  <c r="B16" i="10"/>
  <c r="K8" i="11"/>
  <c r="R8" i="11"/>
  <c r="P8" i="12"/>
  <c r="P17" i="12"/>
  <c r="R21" i="10"/>
  <c r="C21" i="10" s="1"/>
  <c r="B21" i="10"/>
  <c r="AA23" i="6"/>
  <c r="AA5" i="7" s="1"/>
  <c r="R39" i="10"/>
  <c r="C39" i="10" s="1"/>
  <c r="B39" i="10"/>
  <c r="R15" i="10"/>
  <c r="C15" i="10" s="1"/>
  <c r="B15" i="10"/>
  <c r="E15" i="10" s="1"/>
  <c r="H8" i="11"/>
  <c r="O8" i="11"/>
  <c r="AB4" i="12"/>
  <c r="AB13" i="12"/>
  <c r="S28" i="10"/>
  <c r="D28" i="10" s="1"/>
  <c r="B28" i="10"/>
  <c r="R38" i="10"/>
  <c r="C38" i="10" s="1"/>
  <c r="B38" i="10"/>
  <c r="R14" i="10"/>
  <c r="C14" i="10" s="1"/>
  <c r="B14" i="10"/>
  <c r="M7" i="11"/>
  <c r="J4" i="12"/>
  <c r="J13" i="12"/>
  <c r="R27" i="10"/>
  <c r="C27" i="10" s="1"/>
  <c r="B27" i="10"/>
  <c r="AA22" i="6"/>
  <c r="R37" i="10"/>
  <c r="C37" i="10" s="1"/>
  <c r="B37" i="10"/>
  <c r="R13" i="10"/>
  <c r="C13" i="10" s="1"/>
  <c r="B13" i="10"/>
  <c r="L7" i="11"/>
  <c r="P10" i="12"/>
  <c r="P19" i="12"/>
  <c r="M6" i="7"/>
  <c r="R36" i="10"/>
  <c r="C36" i="10" s="1"/>
  <c r="B36" i="10"/>
  <c r="R12" i="10"/>
  <c r="C12" i="10" s="1"/>
  <c r="B12" i="10"/>
  <c r="K7" i="11"/>
  <c r="H7" i="11" s="1"/>
  <c r="R7" i="11"/>
  <c r="O7" i="11" s="1"/>
  <c r="S29" i="10"/>
  <c r="D29" i="10" s="1"/>
  <c r="B29" i="10"/>
  <c r="S35" i="10"/>
  <c r="D35" i="10" s="1"/>
  <c r="B35" i="10"/>
  <c r="S11" i="10"/>
  <c r="D11" i="10" s="1"/>
  <c r="B11" i="10"/>
  <c r="E11" i="10" s="1"/>
  <c r="S34" i="10"/>
  <c r="D34" i="10" s="1"/>
  <c r="B34" i="10"/>
  <c r="E34" i="10" s="1"/>
  <c r="S10" i="10"/>
  <c r="D10" i="10" s="1"/>
  <c r="B10" i="10"/>
  <c r="M6" i="11"/>
  <c r="R26" i="10"/>
  <c r="C26" i="10" s="1"/>
  <c r="B26" i="10"/>
  <c r="E26" i="10" s="1"/>
  <c r="N5" i="7"/>
  <c r="M5" i="7"/>
  <c r="S33" i="10"/>
  <c r="D33" i="10" s="1"/>
  <c r="B33" i="10"/>
  <c r="S9" i="10"/>
  <c r="D9" i="10" s="1"/>
  <c r="B9" i="10"/>
  <c r="L6" i="11"/>
  <c r="S32" i="10"/>
  <c r="D32" i="10" s="1"/>
  <c r="B32" i="10"/>
  <c r="S8" i="10"/>
  <c r="D8" i="10" s="1"/>
  <c r="B8" i="10"/>
  <c r="K6" i="11"/>
  <c r="R6" i="11"/>
  <c r="O6" i="11" s="1"/>
  <c r="AB11" i="12"/>
  <c r="AB20" i="12"/>
  <c r="S23" i="10"/>
  <c r="D23" i="10" s="1"/>
  <c r="B23" i="10"/>
  <c r="N4" i="7"/>
  <c r="S31" i="10"/>
  <c r="D31" i="10" s="1"/>
  <c r="B31" i="10"/>
  <c r="S7" i="10"/>
  <c r="D7" i="10" s="1"/>
  <c r="B7" i="10"/>
  <c r="M4" i="7"/>
  <c r="S30" i="10"/>
  <c r="D30" i="10" s="1"/>
  <c r="B30" i="10"/>
  <c r="S6" i="10"/>
  <c r="D6" i="10" s="1"/>
  <c r="B6" i="10"/>
  <c r="M5" i="11"/>
  <c r="H5" i="11" s="1"/>
  <c r="P7" i="12"/>
  <c r="P16" i="12"/>
  <c r="O6" i="10"/>
  <c r="R41" i="10"/>
  <c r="C41" i="10" s="1"/>
  <c r="N10" i="10"/>
  <c r="R40" i="10"/>
  <c r="C40" i="10" s="1"/>
  <c r="O7" i="10"/>
  <c r="R16" i="10"/>
  <c r="C16" i="10" s="1"/>
  <c r="R34" i="10"/>
  <c r="C34" i="10" s="1"/>
  <c r="R33" i="10"/>
  <c r="C33" i="10" s="1"/>
  <c r="R11" i="10"/>
  <c r="C11" i="10" s="1"/>
  <c r="O37" i="10"/>
  <c r="R10" i="10"/>
  <c r="C10" i="10" s="1"/>
  <c r="R32" i="10"/>
  <c r="C32" i="10" s="1"/>
  <c r="O36" i="10"/>
  <c r="R9" i="10"/>
  <c r="C9" i="10" s="1"/>
  <c r="O35" i="10"/>
  <c r="R8" i="10"/>
  <c r="C8" i="10" s="1"/>
  <c r="O13" i="10"/>
  <c r="R35" i="10"/>
  <c r="C35" i="10" s="1"/>
  <c r="O12" i="10"/>
  <c r="O8" i="10"/>
  <c r="S27" i="10"/>
  <c r="D27" i="10" s="1"/>
  <c r="R23" i="10"/>
  <c r="C23" i="10" s="1"/>
  <c r="S14" i="10"/>
  <c r="D14" i="10" s="1"/>
  <c r="S12" i="10"/>
  <c r="D12" i="10" s="1"/>
  <c r="S26" i="10"/>
  <c r="D26" i="10" s="1"/>
  <c r="O34" i="10"/>
  <c r="S25" i="10"/>
  <c r="D25" i="10" s="1"/>
  <c r="O18" i="10"/>
  <c r="S24" i="10"/>
  <c r="D24" i="10" s="1"/>
  <c r="O14" i="10"/>
  <c r="S22" i="10"/>
  <c r="D22" i="10" s="1"/>
  <c r="S21" i="10"/>
  <c r="D21" i="10" s="1"/>
  <c r="O11" i="10"/>
  <c r="R29" i="10"/>
  <c r="C29" i="10" s="1"/>
  <c r="R17" i="10"/>
  <c r="C17" i="10" s="1"/>
  <c r="N40" i="10"/>
  <c r="R6" i="10"/>
  <c r="C6" i="10" s="1"/>
  <c r="R30" i="10"/>
  <c r="C30" i="10" s="1"/>
  <c r="N19" i="10"/>
  <c r="R5" i="10"/>
  <c r="C5" i="10" s="1"/>
  <c r="S38" i="10"/>
  <c r="D38" i="10" s="1"/>
  <c r="N41" i="10"/>
  <c r="N16" i="10"/>
  <c r="S36" i="10"/>
  <c r="D36" i="10" s="1"/>
  <c r="N42" i="10"/>
  <c r="N38" i="10"/>
  <c r="N15" i="10"/>
  <c r="O5" i="10"/>
  <c r="O4" i="10"/>
  <c r="R31" i="10"/>
  <c r="C31" i="10" s="1"/>
  <c r="R7" i="10"/>
  <c r="C7" i="10" s="1"/>
  <c r="R28" i="10"/>
  <c r="C28" i="10" s="1"/>
  <c r="R4" i="10"/>
  <c r="C4" i="10" s="1"/>
  <c r="S20" i="10"/>
  <c r="D20" i="10" s="1"/>
  <c r="S3" i="10"/>
  <c r="D3" i="10" s="1"/>
  <c r="S19" i="10"/>
  <c r="D19" i="10" s="1"/>
  <c r="O3" i="10"/>
  <c r="S42" i="10"/>
  <c r="D42" i="10" s="1"/>
  <c r="S18" i="10"/>
  <c r="D18" i="10" s="1"/>
  <c r="S39" i="10"/>
  <c r="D39" i="10" s="1"/>
  <c r="S15" i="10"/>
  <c r="D15" i="10" s="1"/>
  <c r="S37" i="10"/>
  <c r="D37" i="10" s="1"/>
  <c r="S13" i="10"/>
  <c r="D13" i="10" s="1"/>
  <c r="N39" i="10"/>
  <c r="O9" i="10"/>
  <c r="O31" i="10"/>
  <c r="O23" i="10"/>
  <c r="O27" i="10"/>
  <c r="O24" i="10"/>
  <c r="O30" i="10"/>
  <c r="O28" i="10"/>
  <c r="O25" i="10"/>
  <c r="O29" i="10"/>
  <c r="O26" i="10"/>
  <c r="O22" i="10"/>
  <c r="N21" i="10"/>
  <c r="N20" i="10"/>
  <c r="N17" i="10"/>
  <c r="N33" i="10"/>
  <c r="N32" i="10"/>
  <c r="N26" i="6"/>
  <c r="AA20" i="6"/>
  <c r="AA4" i="7" s="1"/>
  <c r="AA27" i="6"/>
  <c r="AA6" i="7" s="1"/>
  <c r="AA25" i="6"/>
  <c r="N24" i="6"/>
  <c r="AB24" i="6" s="1"/>
  <c r="AA19" i="6"/>
  <c r="N21" i="6"/>
  <c r="AB21" i="6" s="1"/>
  <c r="H6" i="11" l="1"/>
  <c r="E18" i="10"/>
  <c r="E39" i="10"/>
  <c r="E42" i="10"/>
  <c r="E7" i="10"/>
  <c r="E13" i="10"/>
  <c r="E10" i="10"/>
  <c r="E21" i="10"/>
  <c r="E31" i="10"/>
  <c r="E37" i="10"/>
  <c r="E24" i="10"/>
  <c r="AB26" i="6"/>
  <c r="N6" i="7"/>
  <c r="E23" i="10"/>
  <c r="E27" i="10"/>
  <c r="E19" i="10"/>
  <c r="E16" i="10"/>
  <c r="E4" i="10"/>
  <c r="E35" i="10"/>
  <c r="E40" i="10"/>
  <c r="E14" i="10"/>
  <c r="AB3" i="6"/>
  <c r="E8" i="10"/>
  <c r="E22" i="10"/>
  <c r="E29" i="10"/>
  <c r="E38" i="10"/>
  <c r="E32" i="10"/>
  <c r="E20" i="10"/>
  <c r="E28" i="10"/>
  <c r="E25" i="10"/>
  <c r="E6" i="10"/>
  <c r="E9" i="10"/>
  <c r="E12" i="10"/>
  <c r="E30" i="10"/>
  <c r="E33" i="10"/>
  <c r="E36" i="10"/>
  <c r="R42" i="6"/>
  <c r="J42" i="6"/>
  <c r="X42" i="6" s="1"/>
  <c r="I42" i="6"/>
  <c r="W42" i="6" s="1"/>
  <c r="V42" i="6"/>
  <c r="G42" i="6"/>
  <c r="U42" i="6" s="1"/>
  <c r="E42" i="6"/>
  <c r="S42" i="6" s="1"/>
  <c r="R41" i="6"/>
  <c r="J41" i="6"/>
  <c r="X41" i="6" s="1"/>
  <c r="I41" i="6"/>
  <c r="W41" i="6" s="1"/>
  <c r="V41" i="6"/>
  <c r="G41" i="6"/>
  <c r="T41" i="6"/>
  <c r="E41" i="6"/>
  <c r="S41" i="6" s="1"/>
  <c r="R40" i="6"/>
  <c r="J40" i="6"/>
  <c r="X40" i="6" s="1"/>
  <c r="I40" i="6"/>
  <c r="W40" i="6" s="1"/>
  <c r="V40" i="6"/>
  <c r="G40" i="6"/>
  <c r="U40" i="6" s="1"/>
  <c r="T40" i="6"/>
  <c r="E40" i="6"/>
  <c r="S40" i="6" s="1"/>
  <c r="R39" i="6"/>
  <c r="J39" i="6"/>
  <c r="X39" i="6" s="1"/>
  <c r="I39" i="6"/>
  <c r="W39" i="6" s="1"/>
  <c r="V39" i="6"/>
  <c r="G39" i="6"/>
  <c r="U39" i="6" s="1"/>
  <c r="T39" i="6"/>
  <c r="E39" i="6"/>
  <c r="S39" i="6" s="1"/>
  <c r="R38" i="6"/>
  <c r="J38" i="6"/>
  <c r="X38" i="6" s="1"/>
  <c r="I38" i="6"/>
  <c r="W38" i="6" s="1"/>
  <c r="V38" i="6"/>
  <c r="G38" i="6"/>
  <c r="U38" i="6" s="1"/>
  <c r="E38" i="6"/>
  <c r="S38" i="6" s="1"/>
  <c r="R37" i="6"/>
  <c r="J37" i="6"/>
  <c r="X37" i="6" s="1"/>
  <c r="I37" i="6"/>
  <c r="W37" i="6" s="1"/>
  <c r="V37" i="6"/>
  <c r="G37" i="6"/>
  <c r="T37" i="6"/>
  <c r="E37" i="6"/>
  <c r="S37" i="6" s="1"/>
  <c r="R36" i="6"/>
  <c r="J36" i="6"/>
  <c r="X36" i="6" s="1"/>
  <c r="I36" i="6"/>
  <c r="W36" i="6" s="1"/>
  <c r="V36" i="6"/>
  <c r="G36" i="6"/>
  <c r="T36" i="6"/>
  <c r="E36" i="6"/>
  <c r="S36" i="6" s="1"/>
  <c r="R35" i="6"/>
  <c r="J35" i="6"/>
  <c r="X35" i="6" s="1"/>
  <c r="I35" i="6"/>
  <c r="W35" i="6" s="1"/>
  <c r="V35" i="6"/>
  <c r="G35" i="6"/>
  <c r="U35" i="6" s="1"/>
  <c r="T35" i="6"/>
  <c r="E35" i="6"/>
  <c r="S35" i="6" s="1"/>
  <c r="R34" i="6"/>
  <c r="J34" i="6"/>
  <c r="X34" i="6" s="1"/>
  <c r="I34" i="6"/>
  <c r="W34" i="6" s="1"/>
  <c r="V34" i="6"/>
  <c r="G34" i="6"/>
  <c r="U34" i="6" s="1"/>
  <c r="E34" i="6"/>
  <c r="S34" i="6" s="1"/>
  <c r="R33" i="6"/>
  <c r="J33" i="6"/>
  <c r="X33" i="6" s="1"/>
  <c r="I33" i="6"/>
  <c r="W33" i="6" s="1"/>
  <c r="V33" i="6"/>
  <c r="G33" i="6"/>
  <c r="T33" i="6"/>
  <c r="E33" i="6"/>
  <c r="S33" i="6" s="1"/>
  <c r="R32" i="6"/>
  <c r="J32" i="6"/>
  <c r="X32" i="6" s="1"/>
  <c r="I32" i="6"/>
  <c r="W32" i="6" s="1"/>
  <c r="V32" i="6"/>
  <c r="G32" i="6"/>
  <c r="T32" i="6"/>
  <c r="E32" i="6"/>
  <c r="S32" i="6" s="1"/>
  <c r="R31" i="6"/>
  <c r="J31" i="6"/>
  <c r="X31" i="6" s="1"/>
  <c r="I31" i="6"/>
  <c r="W31" i="6" s="1"/>
  <c r="V31" i="6"/>
  <c r="G31" i="6"/>
  <c r="U31" i="6" s="1"/>
  <c r="T31" i="6"/>
  <c r="E31" i="6"/>
  <c r="S31" i="6" s="1"/>
  <c r="R30" i="6"/>
  <c r="J30" i="6"/>
  <c r="X30" i="6" s="1"/>
  <c r="I30" i="6"/>
  <c r="W30" i="6" s="1"/>
  <c r="V30" i="6"/>
  <c r="G30" i="6"/>
  <c r="U30" i="6" s="1"/>
  <c r="E30" i="6"/>
  <c r="S30" i="6" s="1"/>
  <c r="R29" i="6"/>
  <c r="J29" i="6"/>
  <c r="X29" i="6" s="1"/>
  <c r="I29" i="6"/>
  <c r="W29" i="6" s="1"/>
  <c r="V29" i="6"/>
  <c r="G29" i="6"/>
  <c r="T29" i="6"/>
  <c r="E29" i="6"/>
  <c r="S29" i="6" s="1"/>
  <c r="R28" i="6"/>
  <c r="J28" i="6"/>
  <c r="X28" i="6" s="1"/>
  <c r="I28" i="6"/>
  <c r="W28" i="6" s="1"/>
  <c r="V28" i="6"/>
  <c r="G28" i="6"/>
  <c r="U28" i="6" s="1"/>
  <c r="T28" i="6"/>
  <c r="E28" i="6"/>
  <c r="S28" i="6" s="1"/>
  <c r="R27" i="6"/>
  <c r="J27" i="6"/>
  <c r="X27" i="6" s="1"/>
  <c r="I27" i="6"/>
  <c r="W27" i="6" s="1"/>
  <c r="V27" i="6"/>
  <c r="G27" i="6"/>
  <c r="U27" i="6" s="1"/>
  <c r="T27" i="6"/>
  <c r="E27" i="6"/>
  <c r="S27" i="6" s="1"/>
  <c r="R26" i="6"/>
  <c r="J26" i="6"/>
  <c r="X26" i="6" s="1"/>
  <c r="I26" i="6"/>
  <c r="W26" i="6" s="1"/>
  <c r="V26" i="6"/>
  <c r="G26" i="6"/>
  <c r="U26" i="6" s="1"/>
  <c r="E26" i="6"/>
  <c r="S26" i="6" s="1"/>
  <c r="R25" i="6"/>
  <c r="J25" i="6"/>
  <c r="X25" i="6" s="1"/>
  <c r="I25" i="6"/>
  <c r="W25" i="6" s="1"/>
  <c r="V25" i="6"/>
  <c r="G25" i="6"/>
  <c r="T25" i="6"/>
  <c r="E25" i="6"/>
  <c r="S25" i="6" s="1"/>
  <c r="R24" i="6"/>
  <c r="J24" i="6"/>
  <c r="X24" i="6" s="1"/>
  <c r="I24" i="6"/>
  <c r="W24" i="6" s="1"/>
  <c r="V24" i="6"/>
  <c r="G24" i="6"/>
  <c r="U24" i="6" s="1"/>
  <c r="T24" i="6"/>
  <c r="E24" i="6"/>
  <c r="S24" i="6" s="1"/>
  <c r="R23" i="6"/>
  <c r="J23" i="6"/>
  <c r="X23" i="6" s="1"/>
  <c r="I23" i="6"/>
  <c r="W23" i="6" s="1"/>
  <c r="V23" i="6"/>
  <c r="G23" i="6"/>
  <c r="U23" i="6" s="1"/>
  <c r="T23" i="6"/>
  <c r="E23" i="6"/>
  <c r="S23" i="6" s="1"/>
  <c r="R22" i="6"/>
  <c r="J22" i="6"/>
  <c r="X22" i="6" s="1"/>
  <c r="I22" i="6"/>
  <c r="W22" i="6" s="1"/>
  <c r="V22" i="6"/>
  <c r="G22" i="6"/>
  <c r="U22" i="6" s="1"/>
  <c r="E22" i="6"/>
  <c r="S22" i="6" s="1"/>
  <c r="R21" i="6"/>
  <c r="J21" i="6"/>
  <c r="X21" i="6" s="1"/>
  <c r="I21" i="6"/>
  <c r="W21" i="6" s="1"/>
  <c r="V21" i="6"/>
  <c r="G21" i="6"/>
  <c r="T21" i="6"/>
  <c r="E21" i="6"/>
  <c r="S21" i="6" s="1"/>
  <c r="R20" i="6"/>
  <c r="J20" i="6"/>
  <c r="X20" i="6" s="1"/>
  <c r="I20" i="6"/>
  <c r="W20" i="6" s="1"/>
  <c r="V20" i="6"/>
  <c r="G20" i="6"/>
  <c r="T20" i="6"/>
  <c r="E20" i="6"/>
  <c r="S20" i="6" s="1"/>
  <c r="R19" i="6"/>
  <c r="J19" i="6"/>
  <c r="X19" i="6" s="1"/>
  <c r="I19" i="6"/>
  <c r="W19" i="6" s="1"/>
  <c r="V19" i="6"/>
  <c r="G19" i="6"/>
  <c r="U19" i="6" s="1"/>
  <c r="T19" i="6"/>
  <c r="E19" i="6"/>
  <c r="S19" i="6" s="1"/>
  <c r="R18" i="6"/>
  <c r="J18" i="6"/>
  <c r="X18" i="6" s="1"/>
  <c r="I18" i="6"/>
  <c r="W18" i="6" s="1"/>
  <c r="V18" i="6"/>
  <c r="G18" i="6"/>
  <c r="U18" i="6" s="1"/>
  <c r="E18" i="6"/>
  <c r="S18" i="6" s="1"/>
  <c r="R17" i="6"/>
  <c r="J17" i="6"/>
  <c r="X17" i="6" s="1"/>
  <c r="I17" i="6"/>
  <c r="W17" i="6" s="1"/>
  <c r="V17" i="6"/>
  <c r="G17" i="6"/>
  <c r="T17" i="6"/>
  <c r="E17" i="6"/>
  <c r="S17" i="6" s="1"/>
  <c r="R16" i="6"/>
  <c r="J16" i="6"/>
  <c r="X16" i="6" s="1"/>
  <c r="I16" i="6"/>
  <c r="W16" i="6" s="1"/>
  <c r="V16" i="6"/>
  <c r="G16" i="6"/>
  <c r="T16" i="6"/>
  <c r="E16" i="6"/>
  <c r="S16" i="6" s="1"/>
  <c r="R15" i="6"/>
  <c r="J15" i="6"/>
  <c r="X15" i="6" s="1"/>
  <c r="I15" i="6"/>
  <c r="W15" i="6" s="1"/>
  <c r="V15" i="6"/>
  <c r="G15" i="6"/>
  <c r="U15" i="6" s="1"/>
  <c r="T15" i="6"/>
  <c r="E15" i="6"/>
  <c r="S15" i="6" s="1"/>
  <c r="R14" i="6"/>
  <c r="R3" i="7" s="1"/>
  <c r="J14" i="6"/>
  <c r="I14" i="6"/>
  <c r="G14" i="6"/>
  <c r="E14" i="6"/>
  <c r="R13" i="6"/>
  <c r="J13" i="6"/>
  <c r="X13" i="6" s="1"/>
  <c r="I13" i="6"/>
  <c r="W13" i="6" s="1"/>
  <c r="V13" i="6"/>
  <c r="G13" i="6"/>
  <c r="T13" i="6"/>
  <c r="E13" i="6"/>
  <c r="S13" i="6" s="1"/>
  <c r="R12" i="6"/>
  <c r="J12" i="6"/>
  <c r="X12" i="6" s="1"/>
  <c r="I12" i="6"/>
  <c r="W12" i="6" s="1"/>
  <c r="V12" i="6"/>
  <c r="G12" i="6"/>
  <c r="U12" i="6" s="1"/>
  <c r="T12" i="6"/>
  <c r="E12" i="6"/>
  <c r="S12" i="6" s="1"/>
  <c r="R11" i="6"/>
  <c r="J11" i="6"/>
  <c r="X11" i="6" s="1"/>
  <c r="I11" i="6"/>
  <c r="W11" i="6" s="1"/>
  <c r="V11" i="6"/>
  <c r="G11" i="6"/>
  <c r="U11" i="6" s="1"/>
  <c r="T11" i="6"/>
  <c r="E11" i="6"/>
  <c r="S11" i="6" s="1"/>
  <c r="R10" i="6"/>
  <c r="J10" i="6"/>
  <c r="X10" i="6" s="1"/>
  <c r="I10" i="6"/>
  <c r="W10" i="6" s="1"/>
  <c r="V10" i="6"/>
  <c r="G10" i="6"/>
  <c r="U10" i="6" s="1"/>
  <c r="E10" i="6"/>
  <c r="S10" i="6" s="1"/>
  <c r="R9" i="6"/>
  <c r="J9" i="6"/>
  <c r="X9" i="6" s="1"/>
  <c r="I9" i="6"/>
  <c r="W9" i="6" s="1"/>
  <c r="V9" i="6"/>
  <c r="G9" i="6"/>
  <c r="T9" i="6"/>
  <c r="E9" i="6"/>
  <c r="S9" i="6" s="1"/>
  <c r="R8" i="6"/>
  <c r="J8" i="6"/>
  <c r="X8" i="6" s="1"/>
  <c r="I8" i="6"/>
  <c r="W8" i="6" s="1"/>
  <c r="V8" i="6"/>
  <c r="G8" i="6"/>
  <c r="U8" i="6" s="1"/>
  <c r="T8" i="6"/>
  <c r="E8" i="6"/>
  <c r="S8" i="6" s="1"/>
  <c r="P7" i="6"/>
  <c r="J7" i="6"/>
  <c r="X7" i="6" s="1"/>
  <c r="I7" i="6"/>
  <c r="W7" i="6" s="1"/>
  <c r="G7" i="6"/>
  <c r="U7" i="6" s="1"/>
  <c r="T7" i="6"/>
  <c r="E7" i="6"/>
  <c r="S7" i="6" s="1"/>
  <c r="P6" i="6"/>
  <c r="J6" i="6"/>
  <c r="X6" i="6" s="1"/>
  <c r="I6" i="6"/>
  <c r="G6" i="6"/>
  <c r="E6" i="6"/>
  <c r="P5" i="6"/>
  <c r="J5" i="6"/>
  <c r="X5" i="6" s="1"/>
  <c r="I5" i="6"/>
  <c r="W5" i="6" s="1"/>
  <c r="V5" i="6"/>
  <c r="G5" i="6"/>
  <c r="E5" i="6"/>
  <c r="P4" i="6"/>
  <c r="J4" i="6"/>
  <c r="X4" i="6" s="1"/>
  <c r="I4" i="6"/>
  <c r="G4" i="6"/>
  <c r="U4" i="6" s="1"/>
  <c r="T4" i="6"/>
  <c r="E4" i="6"/>
  <c r="S4" i="6" s="1"/>
  <c r="P3" i="6"/>
  <c r="J3" i="6"/>
  <c r="X3" i="6" s="1"/>
  <c r="I3" i="6"/>
  <c r="G3" i="6"/>
  <c r="E3" i="6"/>
  <c r="R5" i="6" l="1"/>
  <c r="AC5" i="6"/>
  <c r="AB5" i="6"/>
  <c r="AA5" i="6"/>
  <c r="S14" i="6"/>
  <c r="S3" i="7" s="1"/>
  <c r="E3" i="7"/>
  <c r="V14" i="6"/>
  <c r="V3" i="7" s="1"/>
  <c r="H3" i="7"/>
  <c r="J3" i="7"/>
  <c r="X14" i="6"/>
  <c r="X3" i="7" s="1"/>
  <c r="AC3" i="6"/>
  <c r="AA3" i="6"/>
  <c r="AB6" i="6"/>
  <c r="AA6" i="6"/>
  <c r="AC6" i="6"/>
  <c r="U14" i="6"/>
  <c r="U3" i="7" s="1"/>
  <c r="G3" i="7"/>
  <c r="R7" i="6"/>
  <c r="AA7" i="6"/>
  <c r="AB7" i="6"/>
  <c r="AC7" i="6"/>
  <c r="R4" i="6"/>
  <c r="Q4" i="6" s="1"/>
  <c r="AA4" i="6"/>
  <c r="AC4" i="6"/>
  <c r="AB4" i="6"/>
  <c r="W14" i="6"/>
  <c r="W3" i="7" s="1"/>
  <c r="I3" i="7"/>
  <c r="V4" i="6"/>
  <c r="W4" i="6"/>
  <c r="V6" i="6"/>
  <c r="S5" i="6"/>
  <c r="T5" i="6"/>
  <c r="C17" i="6"/>
  <c r="C24" i="6"/>
  <c r="C30" i="6"/>
  <c r="C8" i="7" s="1"/>
  <c r="C8" i="6"/>
  <c r="C33" i="6"/>
  <c r="C14" i="6"/>
  <c r="C3" i="7" s="1"/>
  <c r="U3" i="6"/>
  <c r="C16" i="6"/>
  <c r="C25" i="6"/>
  <c r="C32" i="6"/>
  <c r="C10" i="7" s="1"/>
  <c r="W3" i="6"/>
  <c r="C4" i="6"/>
  <c r="C22" i="6"/>
  <c r="C5" i="7" s="1"/>
  <c r="C38" i="6"/>
  <c r="C6" i="6"/>
  <c r="C20" i="6"/>
  <c r="C29" i="6"/>
  <c r="W6" i="6"/>
  <c r="C18" i="6"/>
  <c r="C34" i="6"/>
  <c r="C9" i="6"/>
  <c r="Q11" i="6"/>
  <c r="Q27" i="6"/>
  <c r="Q6" i="7" s="1"/>
  <c r="C13" i="6"/>
  <c r="C36" i="6"/>
  <c r="C7" i="6"/>
  <c r="C41" i="6"/>
  <c r="U20" i="6"/>
  <c r="Q20" i="6" s="1"/>
  <c r="Q4" i="7" s="1"/>
  <c r="U36" i="6"/>
  <c r="Q36" i="6" s="1"/>
  <c r="C5" i="6"/>
  <c r="C12" i="6"/>
  <c r="C21" i="6"/>
  <c r="C28" i="6"/>
  <c r="C7" i="7" s="1"/>
  <c r="C37" i="6"/>
  <c r="C42" i="6"/>
  <c r="C3" i="6"/>
  <c r="C10" i="6"/>
  <c r="C26" i="6"/>
  <c r="C6" i="7" s="1"/>
  <c r="Q19" i="6"/>
  <c r="Q35" i="6"/>
  <c r="U16" i="6"/>
  <c r="Q16" i="6" s="1"/>
  <c r="U32" i="6"/>
  <c r="Q32" i="6" s="1"/>
  <c r="Q9" i="7" s="1"/>
  <c r="V3" i="6"/>
  <c r="Q12" i="6"/>
  <c r="Q28" i="6"/>
  <c r="Q8" i="6"/>
  <c r="Q24" i="6"/>
  <c r="Q40" i="6"/>
  <c r="Q15" i="6"/>
  <c r="Q23" i="6"/>
  <c r="Q5" i="7" s="1"/>
  <c r="Q31" i="6"/>
  <c r="Q8" i="7" s="1"/>
  <c r="Q39" i="6"/>
  <c r="V7" i="6"/>
  <c r="C11" i="6"/>
  <c r="C15" i="6"/>
  <c r="C19" i="6"/>
  <c r="C4" i="7" s="1"/>
  <c r="C23" i="6"/>
  <c r="C27" i="6"/>
  <c r="C31" i="6"/>
  <c r="C9" i="7" s="1"/>
  <c r="C35" i="6"/>
  <c r="C39" i="6"/>
  <c r="U5" i="6"/>
  <c r="Q5" i="6" s="1"/>
  <c r="C40" i="6"/>
  <c r="R3" i="6"/>
  <c r="R6" i="6"/>
  <c r="S3" i="6"/>
  <c r="S6" i="6"/>
  <c r="U9" i="6"/>
  <c r="Q9" i="6" s="1"/>
  <c r="U13" i="6"/>
  <c r="Q13" i="6" s="1"/>
  <c r="U17" i="6"/>
  <c r="Q17" i="6" s="1"/>
  <c r="U21" i="6"/>
  <c r="Q21" i="6" s="1"/>
  <c r="U25" i="6"/>
  <c r="Q25" i="6" s="1"/>
  <c r="U29" i="6"/>
  <c r="Q29" i="6" s="1"/>
  <c r="Q7" i="7" s="1"/>
  <c r="U33" i="6"/>
  <c r="Q33" i="6" s="1"/>
  <c r="Q10" i="7" s="1"/>
  <c r="U37" i="6"/>
  <c r="Q37" i="6" s="1"/>
  <c r="U41" i="6"/>
  <c r="Q41" i="6" s="1"/>
  <c r="T6" i="6"/>
  <c r="T3" i="6"/>
  <c r="U6" i="6"/>
  <c r="T10" i="6"/>
  <c r="Q10" i="6" s="1"/>
  <c r="T14" i="6"/>
  <c r="T18" i="6"/>
  <c r="Q18" i="6" s="1"/>
  <c r="T22" i="6"/>
  <c r="Q22" i="6" s="1"/>
  <c r="T26" i="6"/>
  <c r="Q26" i="6" s="1"/>
  <c r="T30" i="6"/>
  <c r="Q30" i="6" s="1"/>
  <c r="T34" i="6"/>
  <c r="Q34" i="6" s="1"/>
  <c r="T38" i="6"/>
  <c r="Q38" i="6" s="1"/>
  <c r="T42" i="6"/>
  <c r="Q42" i="6" s="1"/>
  <c r="Q14" i="6" l="1"/>
  <c r="Q3" i="7" s="1"/>
  <c r="T3" i="7"/>
  <c r="Q7" i="6"/>
  <c r="Q6" i="6"/>
  <c r="Q3" i="6"/>
  <c r="H17" i="3" l="1"/>
  <c r="G17" i="3"/>
  <c r="I17" i="3"/>
  <c r="J17" i="3"/>
  <c r="J19" i="3"/>
  <c r="J4" i="7" s="1"/>
  <c r="J20" i="3"/>
  <c r="J21" i="3"/>
  <c r="J1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3" i="3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4" i="7" s="1"/>
  <c r="E20" i="3"/>
  <c r="E21" i="3"/>
  <c r="E22" i="3"/>
  <c r="E5" i="7" s="1"/>
  <c r="E23" i="3"/>
  <c r="E24" i="3"/>
  <c r="E25" i="3"/>
  <c r="E26" i="3"/>
  <c r="E6" i="7" s="1"/>
  <c r="E27" i="3"/>
  <c r="E28" i="3"/>
  <c r="E7" i="7" s="1"/>
  <c r="E29" i="3"/>
  <c r="E30" i="3"/>
  <c r="E8" i="7" s="1"/>
  <c r="E31" i="3"/>
  <c r="E9" i="7" s="1"/>
  <c r="E32" i="3"/>
  <c r="E10" i="7" s="1"/>
  <c r="E33" i="3"/>
  <c r="E34" i="3"/>
  <c r="E35" i="3"/>
  <c r="E36" i="3"/>
  <c r="E37" i="3"/>
  <c r="E38" i="3"/>
  <c r="E39" i="3"/>
  <c r="E40" i="3"/>
  <c r="E41" i="3"/>
  <c r="E42" i="3"/>
  <c r="E3" i="3"/>
  <c r="G23" i="3" l="1"/>
  <c r="G24" i="3"/>
  <c r="G25" i="3"/>
  <c r="G26" i="3"/>
  <c r="G6" i="7" s="1"/>
  <c r="G27" i="3"/>
  <c r="G28" i="3"/>
  <c r="G7" i="7" s="1"/>
  <c r="G29" i="3"/>
  <c r="G30" i="3"/>
  <c r="G8" i="7" s="1"/>
  <c r="G31" i="3"/>
  <c r="G9" i="7" s="1"/>
  <c r="G32" i="3"/>
  <c r="G10" i="7" s="1"/>
  <c r="G33" i="3"/>
  <c r="G34" i="3"/>
  <c r="G35" i="3"/>
  <c r="G36" i="3"/>
  <c r="G37" i="3"/>
  <c r="G38" i="3"/>
  <c r="G39" i="3"/>
  <c r="G40" i="3"/>
  <c r="G41" i="3"/>
  <c r="G42" i="3"/>
  <c r="G22" i="3"/>
  <c r="G5" i="7" s="1"/>
  <c r="H22" i="3"/>
  <c r="H5" i="7" s="1"/>
  <c r="H23" i="3"/>
  <c r="G19" i="3"/>
  <c r="G4" i="7" s="1"/>
  <c r="G20" i="3"/>
  <c r="G21" i="3"/>
  <c r="G1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3" i="3"/>
  <c r="H19" i="3"/>
  <c r="H4" i="7" s="1"/>
  <c r="I19" i="3"/>
  <c r="I4" i="7" s="1"/>
  <c r="H20" i="3"/>
  <c r="I20" i="3"/>
  <c r="H21" i="3"/>
  <c r="I21" i="3"/>
  <c r="I22" i="3"/>
  <c r="I5" i="7" s="1"/>
  <c r="I18" i="3"/>
  <c r="H18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I3" i="3"/>
  <c r="H3" i="3"/>
  <c r="V4" i="4" l="1"/>
  <c r="W4" i="4"/>
  <c r="V5" i="4"/>
  <c r="W5" i="4"/>
  <c r="V6" i="4"/>
  <c r="W6" i="4"/>
  <c r="V7" i="4"/>
  <c r="W7" i="4"/>
  <c r="V8" i="4"/>
  <c r="W8" i="4"/>
  <c r="V9" i="4"/>
  <c r="W9" i="4"/>
  <c r="V10" i="4"/>
  <c r="W10" i="4"/>
  <c r="W3" i="4"/>
  <c r="V3" i="4"/>
  <c r="K4" i="4"/>
  <c r="L4" i="4"/>
  <c r="G5" i="4"/>
  <c r="K5" i="4"/>
  <c r="L5" i="4"/>
  <c r="K6" i="4"/>
  <c r="L6" i="4"/>
  <c r="K7" i="4"/>
  <c r="L7" i="4"/>
  <c r="K8" i="4"/>
  <c r="L8" i="4"/>
  <c r="K9" i="4"/>
  <c r="L9" i="4"/>
  <c r="K10" i="4"/>
  <c r="L10" i="4"/>
  <c r="L3" i="4"/>
  <c r="K3" i="4"/>
  <c r="D4" i="4"/>
  <c r="D5" i="4"/>
  <c r="D6" i="4"/>
  <c r="D7" i="4"/>
  <c r="D8" i="4"/>
  <c r="D9" i="4"/>
  <c r="D10" i="4"/>
  <c r="D3" i="4"/>
  <c r="T7" i="3"/>
  <c r="O8" i="3"/>
  <c r="S8" i="3"/>
  <c r="O9" i="3"/>
  <c r="R9" i="3"/>
  <c r="O10" i="3"/>
  <c r="O11" i="3"/>
  <c r="P11" i="3"/>
  <c r="R11" i="3"/>
  <c r="T11" i="3"/>
  <c r="O12" i="3"/>
  <c r="O13" i="3"/>
  <c r="P13" i="3"/>
  <c r="R13" i="3"/>
  <c r="O14" i="3"/>
  <c r="R14" i="3"/>
  <c r="O15" i="3"/>
  <c r="P15" i="3"/>
  <c r="R15" i="3"/>
  <c r="O16" i="3"/>
  <c r="P16" i="3"/>
  <c r="U16" i="3"/>
  <c r="O17" i="3"/>
  <c r="O18" i="3"/>
  <c r="O19" i="3"/>
  <c r="O20" i="3"/>
  <c r="R4" i="7" s="1"/>
  <c r="Q20" i="3"/>
  <c r="T4" i="7" s="1"/>
  <c r="O21" i="3"/>
  <c r="O22" i="3"/>
  <c r="O23" i="3"/>
  <c r="R5" i="7" s="1"/>
  <c r="O24" i="3"/>
  <c r="O25" i="3"/>
  <c r="O26" i="3"/>
  <c r="O27" i="3"/>
  <c r="R6" i="7" s="1"/>
  <c r="O28" i="3"/>
  <c r="O29" i="3"/>
  <c r="R7" i="7" s="1"/>
  <c r="O30" i="3"/>
  <c r="O31" i="3"/>
  <c r="R8" i="7" s="1"/>
  <c r="O32" i="3"/>
  <c r="R9" i="7" s="1"/>
  <c r="O33" i="3"/>
  <c r="R10" i="7" s="1"/>
  <c r="O34" i="3"/>
  <c r="O35" i="3"/>
  <c r="R35" i="3"/>
  <c r="O36" i="3"/>
  <c r="O37" i="3"/>
  <c r="O38" i="3"/>
  <c r="O39" i="3"/>
  <c r="R39" i="3"/>
  <c r="O40" i="3"/>
  <c r="P40" i="3"/>
  <c r="O41" i="3"/>
  <c r="O42" i="3"/>
  <c r="M4" i="3"/>
  <c r="O4" i="3" s="1"/>
  <c r="M5" i="3"/>
  <c r="O5" i="3" s="1"/>
  <c r="M6" i="3"/>
  <c r="O6" i="3" s="1"/>
  <c r="M7" i="3"/>
  <c r="O7" i="3" s="1"/>
  <c r="M3" i="3"/>
  <c r="T3" i="3" s="1"/>
  <c r="F13" i="3"/>
  <c r="S13" i="3"/>
  <c r="T13" i="3"/>
  <c r="U13" i="3"/>
  <c r="P14" i="3"/>
  <c r="F14" i="3"/>
  <c r="S14" i="3"/>
  <c r="T14" i="3"/>
  <c r="U14" i="3"/>
  <c r="F15" i="3"/>
  <c r="S15" i="3"/>
  <c r="T15" i="3"/>
  <c r="U15" i="3"/>
  <c r="F16" i="3"/>
  <c r="C16" i="3" s="1"/>
  <c r="R16" i="3"/>
  <c r="S16" i="3"/>
  <c r="T16" i="3"/>
  <c r="P17" i="3"/>
  <c r="F17" i="3"/>
  <c r="R17" i="3"/>
  <c r="S17" i="3"/>
  <c r="T17" i="3"/>
  <c r="U17" i="3"/>
  <c r="P18" i="3"/>
  <c r="F18" i="3"/>
  <c r="R18" i="3"/>
  <c r="S18" i="3"/>
  <c r="T18" i="3"/>
  <c r="U18" i="3"/>
  <c r="P19" i="3"/>
  <c r="F19" i="3"/>
  <c r="F4" i="7" s="1"/>
  <c r="R19" i="3"/>
  <c r="S19" i="3"/>
  <c r="T19" i="3"/>
  <c r="U19" i="3"/>
  <c r="P20" i="3"/>
  <c r="S4" i="7" s="1"/>
  <c r="F20" i="3"/>
  <c r="C20" i="3" s="1"/>
  <c r="R20" i="3"/>
  <c r="U4" i="7" s="1"/>
  <c r="S20" i="3"/>
  <c r="V4" i="7" s="1"/>
  <c r="T20" i="3"/>
  <c r="W4" i="7" s="1"/>
  <c r="U20" i="3"/>
  <c r="X4" i="7" s="1"/>
  <c r="P21" i="3"/>
  <c r="F21" i="3"/>
  <c r="R21" i="3"/>
  <c r="S21" i="3"/>
  <c r="T21" i="3"/>
  <c r="U21" i="3"/>
  <c r="E3" i="4"/>
  <c r="F22" i="3"/>
  <c r="F5" i="7" s="1"/>
  <c r="R22" i="3"/>
  <c r="H3" i="4"/>
  <c r="T22" i="3"/>
  <c r="U22" i="3"/>
  <c r="P23" i="3"/>
  <c r="S5" i="7" s="1"/>
  <c r="F23" i="3"/>
  <c r="R23" i="3"/>
  <c r="U5" i="7" s="1"/>
  <c r="S23" i="3"/>
  <c r="V5" i="7" s="1"/>
  <c r="I23" i="3"/>
  <c r="T23" i="3" s="1"/>
  <c r="W5" i="7" s="1"/>
  <c r="U23" i="3"/>
  <c r="X5" i="7" s="1"/>
  <c r="P24" i="3"/>
  <c r="F24" i="3"/>
  <c r="R24" i="3"/>
  <c r="H24" i="3"/>
  <c r="S24" i="3" s="1"/>
  <c r="I24" i="3"/>
  <c r="T24" i="3" s="1"/>
  <c r="U24" i="3"/>
  <c r="P25" i="3"/>
  <c r="F25" i="3"/>
  <c r="R25" i="3"/>
  <c r="H25" i="3"/>
  <c r="S25" i="3" s="1"/>
  <c r="I25" i="3"/>
  <c r="T25" i="3" s="1"/>
  <c r="U25" i="3"/>
  <c r="P26" i="3"/>
  <c r="F26" i="3"/>
  <c r="F6" i="7" s="1"/>
  <c r="R26" i="3"/>
  <c r="H26" i="3"/>
  <c r="I26" i="3"/>
  <c r="U26" i="3"/>
  <c r="P27" i="3"/>
  <c r="S6" i="7" s="1"/>
  <c r="F27" i="3"/>
  <c r="R27" i="3"/>
  <c r="U6" i="7" s="1"/>
  <c r="H27" i="3"/>
  <c r="S27" i="3" s="1"/>
  <c r="V6" i="7" s="1"/>
  <c r="I27" i="3"/>
  <c r="T27" i="3" s="1"/>
  <c r="W6" i="7" s="1"/>
  <c r="U27" i="3"/>
  <c r="X6" i="7" s="1"/>
  <c r="E4" i="4"/>
  <c r="F28" i="3"/>
  <c r="F7" i="7" s="1"/>
  <c r="R28" i="3"/>
  <c r="R4" i="4" s="1"/>
  <c r="H28" i="3"/>
  <c r="I28" i="3"/>
  <c r="J4" i="4"/>
  <c r="P29" i="3"/>
  <c r="S7" i="7" s="1"/>
  <c r="F29" i="3"/>
  <c r="R29" i="3"/>
  <c r="U7" i="7" s="1"/>
  <c r="H29" i="3"/>
  <c r="S29" i="3" s="1"/>
  <c r="V7" i="7" s="1"/>
  <c r="I29" i="3"/>
  <c r="T29" i="3" s="1"/>
  <c r="W7" i="7" s="1"/>
  <c r="U29" i="3"/>
  <c r="X7" i="7" s="1"/>
  <c r="P30" i="3"/>
  <c r="F30" i="3"/>
  <c r="F8" i="7" s="1"/>
  <c r="R30" i="3"/>
  <c r="H30" i="3"/>
  <c r="I30" i="3"/>
  <c r="J5" i="4"/>
  <c r="P31" i="3"/>
  <c r="S8" i="7" s="1"/>
  <c r="F31" i="3"/>
  <c r="F9" i="7" s="1"/>
  <c r="R31" i="3"/>
  <c r="U8" i="7" s="1"/>
  <c r="H31" i="3"/>
  <c r="I31" i="3"/>
  <c r="U31" i="3"/>
  <c r="X8" i="7" s="1"/>
  <c r="E6" i="4"/>
  <c r="F32" i="3"/>
  <c r="G6" i="4"/>
  <c r="H32" i="3"/>
  <c r="I32" i="3"/>
  <c r="J6" i="4"/>
  <c r="P33" i="3"/>
  <c r="S10" i="7" s="1"/>
  <c r="F33" i="3"/>
  <c r="R33" i="3"/>
  <c r="U10" i="7" s="1"/>
  <c r="H33" i="3"/>
  <c r="S33" i="3" s="1"/>
  <c r="V10" i="7" s="1"/>
  <c r="I33" i="3"/>
  <c r="T33" i="3" s="1"/>
  <c r="W10" i="7" s="1"/>
  <c r="U33" i="3"/>
  <c r="X10" i="7" s="1"/>
  <c r="E7" i="4"/>
  <c r="F34" i="3"/>
  <c r="G7" i="4"/>
  <c r="H34" i="3"/>
  <c r="I34" i="3"/>
  <c r="T34" i="3" s="1"/>
  <c r="U34" i="3"/>
  <c r="P35" i="3"/>
  <c r="F35" i="3"/>
  <c r="H35" i="3"/>
  <c r="S35" i="3" s="1"/>
  <c r="I35" i="3"/>
  <c r="T35" i="3" s="1"/>
  <c r="U35" i="3"/>
  <c r="E8" i="4"/>
  <c r="F36" i="3"/>
  <c r="R36" i="3"/>
  <c r="H36" i="3"/>
  <c r="S36" i="3" s="1"/>
  <c r="I36" i="3"/>
  <c r="I8" i="4" s="1"/>
  <c r="J8" i="4"/>
  <c r="E9" i="4"/>
  <c r="F37" i="3"/>
  <c r="G9" i="4"/>
  <c r="H37" i="3"/>
  <c r="I37" i="3"/>
  <c r="J9" i="4"/>
  <c r="P38" i="3"/>
  <c r="F38" i="3"/>
  <c r="G10" i="4"/>
  <c r="H38" i="3"/>
  <c r="I38" i="3"/>
  <c r="T38" i="3" s="1"/>
  <c r="J10" i="4"/>
  <c r="P39" i="3"/>
  <c r="F39" i="3"/>
  <c r="H39" i="3"/>
  <c r="S39" i="3" s="1"/>
  <c r="I39" i="3"/>
  <c r="T39" i="3" s="1"/>
  <c r="U39" i="3"/>
  <c r="F40" i="3"/>
  <c r="R40" i="3"/>
  <c r="H40" i="3"/>
  <c r="S40" i="3" s="1"/>
  <c r="I40" i="3"/>
  <c r="T40" i="3" s="1"/>
  <c r="T10" i="4" s="1"/>
  <c r="U40" i="3"/>
  <c r="U10" i="4" s="1"/>
  <c r="P41" i="3"/>
  <c r="P5" i="4" s="1"/>
  <c r="F41" i="3"/>
  <c r="R41" i="3"/>
  <c r="H41" i="3"/>
  <c r="S41" i="3" s="1"/>
  <c r="I41" i="3"/>
  <c r="T41" i="3" s="1"/>
  <c r="U41" i="3"/>
  <c r="P42" i="3"/>
  <c r="F42" i="3"/>
  <c r="R42" i="3"/>
  <c r="H42" i="3"/>
  <c r="S42" i="3" s="1"/>
  <c r="I42" i="3"/>
  <c r="T42" i="3" s="1"/>
  <c r="U42" i="3"/>
  <c r="P6" i="3"/>
  <c r="F6" i="3"/>
  <c r="R6" i="3"/>
  <c r="T6" i="3"/>
  <c r="U6" i="3"/>
  <c r="P7" i="3"/>
  <c r="F7" i="3"/>
  <c r="R7" i="3"/>
  <c r="S7" i="3"/>
  <c r="U7" i="3"/>
  <c r="P8" i="3"/>
  <c r="F8" i="3"/>
  <c r="R8" i="3"/>
  <c r="T8" i="3"/>
  <c r="U8" i="3"/>
  <c r="P9" i="3"/>
  <c r="F9" i="3"/>
  <c r="S9" i="3"/>
  <c r="T9" i="3"/>
  <c r="U9" i="3"/>
  <c r="P10" i="3"/>
  <c r="F10" i="3"/>
  <c r="R10" i="3"/>
  <c r="S10" i="3"/>
  <c r="T10" i="3"/>
  <c r="U10" i="3"/>
  <c r="F11" i="3"/>
  <c r="S11" i="3"/>
  <c r="U11" i="3"/>
  <c r="P12" i="3"/>
  <c r="F12" i="3"/>
  <c r="R12" i="3"/>
  <c r="S12" i="3"/>
  <c r="T12" i="3"/>
  <c r="U12" i="3"/>
  <c r="F4" i="3"/>
  <c r="F5" i="3"/>
  <c r="S5" i="3"/>
  <c r="F3" i="3"/>
  <c r="C3" i="3" s="1"/>
  <c r="S3" i="3"/>
  <c r="R3" i="3"/>
  <c r="P3" i="3"/>
  <c r="H6" i="4" l="1"/>
  <c r="H10" i="7"/>
  <c r="U4" i="3"/>
  <c r="P10" i="4"/>
  <c r="R10" i="4"/>
  <c r="S4" i="3"/>
  <c r="T31" i="3"/>
  <c r="W8" i="7" s="1"/>
  <c r="I9" i="7"/>
  <c r="I6" i="4"/>
  <c r="I10" i="7"/>
  <c r="S7" i="4"/>
  <c r="S10" i="4"/>
  <c r="I5" i="4"/>
  <c r="I8" i="7"/>
  <c r="T26" i="3"/>
  <c r="I6" i="7"/>
  <c r="S30" i="3"/>
  <c r="N30" i="3" s="1"/>
  <c r="H8" i="7"/>
  <c r="S26" i="3"/>
  <c r="H6" i="7"/>
  <c r="H4" i="4"/>
  <c r="H7" i="7"/>
  <c r="T4" i="3"/>
  <c r="I4" i="4"/>
  <c r="I7" i="7"/>
  <c r="P5" i="3"/>
  <c r="R5" i="3"/>
  <c r="Q32" i="3"/>
  <c r="T9" i="7" s="1"/>
  <c r="F10" i="7"/>
  <c r="S31" i="3"/>
  <c r="V8" i="7" s="1"/>
  <c r="H9" i="7"/>
  <c r="R4" i="3"/>
  <c r="R7" i="4"/>
  <c r="R3" i="4"/>
  <c r="U5" i="3"/>
  <c r="T5" i="3"/>
  <c r="Q41" i="3"/>
  <c r="N41" i="3" s="1"/>
  <c r="C41" i="3"/>
  <c r="O3" i="4"/>
  <c r="Q40" i="3"/>
  <c r="C40" i="3"/>
  <c r="O7" i="4"/>
  <c r="Q16" i="3"/>
  <c r="N16" i="3" s="1"/>
  <c r="Q23" i="3"/>
  <c r="T5" i="7" s="1"/>
  <c r="C23" i="3"/>
  <c r="Q24" i="3"/>
  <c r="N24" i="3" s="1"/>
  <c r="C24" i="3"/>
  <c r="Q27" i="3"/>
  <c r="T6" i="7" s="1"/>
  <c r="C27" i="3"/>
  <c r="H10" i="4"/>
  <c r="N29" i="3"/>
  <c r="N7" i="4" s="1"/>
  <c r="Q4" i="3"/>
  <c r="C4" i="3"/>
  <c r="N20" i="3"/>
  <c r="N4" i="4" s="1"/>
  <c r="T36" i="3"/>
  <c r="T7" i="4" s="1"/>
  <c r="H7" i="4"/>
  <c r="Q38" i="3"/>
  <c r="C38" i="3"/>
  <c r="Q6" i="3"/>
  <c r="N6" i="3" s="1"/>
  <c r="C6" i="3"/>
  <c r="Q26" i="3"/>
  <c r="N26" i="3" s="1"/>
  <c r="C26" i="3"/>
  <c r="C6" i="4" s="1"/>
  <c r="N13" i="3"/>
  <c r="I9" i="4"/>
  <c r="S6" i="4"/>
  <c r="N27" i="3"/>
  <c r="N6" i="4" s="1"/>
  <c r="N12" i="3"/>
  <c r="O10" i="4"/>
  <c r="N40" i="3"/>
  <c r="T3" i="4"/>
  <c r="Q30" i="3"/>
  <c r="C30" i="3"/>
  <c r="C8" i="4" s="1"/>
  <c r="Q18" i="3"/>
  <c r="N18" i="3" s="1"/>
  <c r="C18" i="3"/>
  <c r="T6" i="4"/>
  <c r="R6" i="4"/>
  <c r="Q7" i="3"/>
  <c r="N7" i="3" s="1"/>
  <c r="C7" i="3"/>
  <c r="Q31" i="3"/>
  <c r="C31" i="3"/>
  <c r="C9" i="4" s="1"/>
  <c r="Q11" i="3"/>
  <c r="N11" i="3" s="1"/>
  <c r="C11" i="3"/>
  <c r="U3" i="4"/>
  <c r="H9" i="4"/>
  <c r="Q5" i="3"/>
  <c r="N5" i="3" s="1"/>
  <c r="C5" i="3"/>
  <c r="Q9" i="3"/>
  <c r="C9" i="3"/>
  <c r="T5" i="4"/>
  <c r="Q33" i="3"/>
  <c r="T10" i="7" s="1"/>
  <c r="C33" i="3"/>
  <c r="Q29" i="3"/>
  <c r="T7" i="7" s="1"/>
  <c r="C29" i="3"/>
  <c r="Q25" i="3"/>
  <c r="C25" i="3"/>
  <c r="Q21" i="3"/>
  <c r="N21" i="3" s="1"/>
  <c r="C21" i="3"/>
  <c r="Q17" i="3"/>
  <c r="N17" i="3" s="1"/>
  <c r="C17" i="3"/>
  <c r="U3" i="3"/>
  <c r="N25" i="3"/>
  <c r="F6" i="4"/>
  <c r="C32" i="3"/>
  <c r="C10" i="4" s="1"/>
  <c r="O9" i="4"/>
  <c r="N39" i="3"/>
  <c r="N19" i="3"/>
  <c r="Q12" i="3"/>
  <c r="C12" i="3"/>
  <c r="Q35" i="3"/>
  <c r="N35" i="3" s="1"/>
  <c r="C35" i="3"/>
  <c r="Q14" i="3"/>
  <c r="N14" i="3" s="1"/>
  <c r="N3" i="4" s="1"/>
  <c r="C14" i="3"/>
  <c r="C3" i="4" s="1"/>
  <c r="O6" i="4"/>
  <c r="N33" i="3"/>
  <c r="N10" i="4" s="1"/>
  <c r="F7" i="4"/>
  <c r="C34" i="3"/>
  <c r="F3" i="4"/>
  <c r="C22" i="3"/>
  <c r="C5" i="4" s="1"/>
  <c r="Q13" i="3"/>
  <c r="C13" i="3"/>
  <c r="Q10" i="3"/>
  <c r="N10" i="3" s="1"/>
  <c r="C10" i="3"/>
  <c r="U6" i="4"/>
  <c r="Q42" i="3"/>
  <c r="N42" i="3" s="1"/>
  <c r="C42" i="3"/>
  <c r="O4" i="4"/>
  <c r="U5" i="4"/>
  <c r="S5" i="4"/>
  <c r="F9" i="4"/>
  <c r="C37" i="3"/>
  <c r="P6" i="4"/>
  <c r="Q8" i="3"/>
  <c r="N8" i="3" s="1"/>
  <c r="C8" i="3"/>
  <c r="N9" i="3"/>
  <c r="F4" i="4"/>
  <c r="C28" i="3"/>
  <c r="C7" i="4" s="1"/>
  <c r="F8" i="4"/>
  <c r="C36" i="3"/>
  <c r="O8" i="4"/>
  <c r="Q15" i="3"/>
  <c r="N15" i="3" s="1"/>
  <c r="C15" i="3"/>
  <c r="Q19" i="3"/>
  <c r="C19" i="3"/>
  <c r="C4" i="4" s="1"/>
  <c r="Q39" i="3"/>
  <c r="Q9" i="4" s="1"/>
  <c r="C39" i="3"/>
  <c r="R5" i="4"/>
  <c r="O5" i="4"/>
  <c r="Q36" i="3"/>
  <c r="F10" i="4"/>
  <c r="S38" i="3"/>
  <c r="R38" i="3"/>
  <c r="R37" i="3"/>
  <c r="R8" i="4" s="1"/>
  <c r="P37" i="3"/>
  <c r="P8" i="4" s="1"/>
  <c r="E10" i="4"/>
  <c r="U36" i="3"/>
  <c r="U7" i="4" s="1"/>
  <c r="Q34" i="3"/>
  <c r="Q22" i="3"/>
  <c r="Q3" i="4" s="1"/>
  <c r="G4" i="4"/>
  <c r="U28" i="3"/>
  <c r="U4" i="4" s="1"/>
  <c r="Q28" i="3"/>
  <c r="Q4" i="4" s="1"/>
  <c r="P28" i="3"/>
  <c r="P4" i="4" s="1"/>
  <c r="G3" i="4"/>
  <c r="Q3" i="3"/>
  <c r="S34" i="3"/>
  <c r="U32" i="3"/>
  <c r="S22" i="3"/>
  <c r="S3" i="4" s="1"/>
  <c r="U37" i="3"/>
  <c r="U8" i="4" s="1"/>
  <c r="P36" i="3"/>
  <c r="P7" i="4" s="1"/>
  <c r="R34" i="3"/>
  <c r="T32" i="3"/>
  <c r="E5" i="4"/>
  <c r="I10" i="4"/>
  <c r="H5" i="4"/>
  <c r="T37" i="3"/>
  <c r="T8" i="4" s="1"/>
  <c r="U30" i="3"/>
  <c r="S32" i="3"/>
  <c r="V9" i="7" s="1"/>
  <c r="S37" i="3"/>
  <c r="S8" i="4" s="1"/>
  <c r="P34" i="3"/>
  <c r="R32" i="3"/>
  <c r="T30" i="3"/>
  <c r="P22" i="3"/>
  <c r="P3" i="4" s="1"/>
  <c r="F5" i="4"/>
  <c r="H8" i="4"/>
  <c r="Q37" i="3"/>
  <c r="P32" i="3"/>
  <c r="T28" i="3"/>
  <c r="T4" i="4" s="1"/>
  <c r="G8" i="4"/>
  <c r="S28" i="3"/>
  <c r="S4" i="4" s="1"/>
  <c r="I3" i="4"/>
  <c r="S6" i="3"/>
  <c r="U38" i="3"/>
  <c r="O3" i="3"/>
  <c r="N3" i="3" s="1"/>
  <c r="J3" i="4"/>
  <c r="P4" i="3"/>
  <c r="J7" i="4"/>
  <c r="I7" i="4"/>
  <c r="Q10" i="4" l="1"/>
  <c r="S9" i="4"/>
  <c r="T9" i="4"/>
  <c r="W9" i="7"/>
  <c r="N23" i="3"/>
  <c r="N5" i="4" s="1"/>
  <c r="R9" i="4"/>
  <c r="U9" i="7"/>
  <c r="N34" i="3"/>
  <c r="U9" i="4"/>
  <c r="X9" i="7"/>
  <c r="N4" i="3"/>
  <c r="N38" i="3"/>
  <c r="P9" i="4"/>
  <c r="S9" i="7"/>
  <c r="N31" i="3"/>
  <c r="N8" i="4" s="1"/>
  <c r="T8" i="7"/>
  <c r="N37" i="3"/>
  <c r="N28" i="3"/>
  <c r="N36" i="3"/>
  <c r="Q6" i="4"/>
  <c r="N22" i="3"/>
  <c r="Q8" i="4"/>
  <c r="Q5" i="4"/>
  <c r="N32" i="3"/>
  <c r="N9" i="4" s="1"/>
  <c r="Q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F9D083-9888-4296-B923-4190E116C4F0}" keepAlive="1" name="查询 - 表1" description="与工作簿中“表1”查询的连接。" type="5" refreshedVersion="0" background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<sst xmlns="http://schemas.openxmlformats.org/spreadsheetml/2006/main" count="1497" uniqueCount="271">
  <si>
    <t>英雄等级</t>
    <phoneticPr fontId="1" type="noConversion"/>
  </si>
  <si>
    <t>攻击</t>
    <phoneticPr fontId="1" type="noConversion"/>
  </si>
  <si>
    <t>防御</t>
    <phoneticPr fontId="1" type="noConversion"/>
  </si>
  <si>
    <t>血量</t>
    <phoneticPr fontId="1" type="noConversion"/>
  </si>
  <si>
    <t>暴击</t>
    <phoneticPr fontId="1" type="noConversion"/>
  </si>
  <si>
    <t>暴击抗性</t>
    <phoneticPr fontId="1" type="noConversion"/>
  </si>
  <si>
    <t>效果命中</t>
    <phoneticPr fontId="1" type="noConversion"/>
  </si>
  <si>
    <t>效果抵抗</t>
    <phoneticPr fontId="1" type="noConversion"/>
  </si>
  <si>
    <t>暴击伤害</t>
    <phoneticPr fontId="1" type="noConversion"/>
  </si>
  <si>
    <t>暴击伤害抵抗</t>
    <phoneticPr fontId="1" type="noConversion"/>
  </si>
  <si>
    <t>战力总和</t>
    <phoneticPr fontId="1" type="noConversion"/>
  </si>
  <si>
    <t>战力比例</t>
    <phoneticPr fontId="1" type="noConversion"/>
  </si>
  <si>
    <t>天</t>
    <phoneticPr fontId="1" type="noConversion"/>
  </si>
  <si>
    <t>养成线解锁</t>
    <phoneticPr fontId="1" type="noConversion"/>
  </si>
  <si>
    <t>装备</t>
    <phoneticPr fontId="1" type="noConversion"/>
  </si>
  <si>
    <t>装备强化</t>
    <phoneticPr fontId="1" type="noConversion"/>
  </si>
  <si>
    <t>英雄突破</t>
    <phoneticPr fontId="1" type="noConversion"/>
  </si>
  <si>
    <t>技能升级</t>
    <phoneticPr fontId="1" type="noConversion"/>
  </si>
  <si>
    <t>属性</t>
    <phoneticPr fontId="1" type="noConversion"/>
  </si>
  <si>
    <t>战力</t>
    <phoneticPr fontId="1" type="noConversion"/>
  </si>
  <si>
    <t>暴击抵抗</t>
    <phoneticPr fontId="1" type="noConversion"/>
  </si>
  <si>
    <t>暴击伤害</t>
    <phoneticPr fontId="1" type="noConversion"/>
  </si>
  <si>
    <t>暴击伤害减免</t>
    <phoneticPr fontId="1" type="noConversion"/>
  </si>
  <si>
    <t>战力</t>
    <phoneticPr fontId="1" type="noConversion"/>
  </si>
  <si>
    <t>活跃</t>
    <phoneticPr fontId="1" type="noConversion"/>
  </si>
  <si>
    <r>
      <t>活跃（杰</t>
    </r>
    <r>
      <rPr>
        <sz val="11"/>
        <color theme="1"/>
        <rFont val="Segoe UI Symbol"/>
        <family val="2"/>
      </rPr>
      <t>🐎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</si>
  <si>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t>超大R（杰</t>
    </r>
    <r>
      <rPr>
        <sz val="11"/>
        <color theme="1"/>
        <rFont val="Segoe UI Symbol"/>
        <family val="2"/>
      </rPr>
      <t>🐎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</si>
  <si>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活跃（蓝大嘴鸟）</t>
    <phoneticPr fontId="1" type="noConversion"/>
  </si>
  <si>
    <t>超大R（蓝大嘴鸟）</t>
    <phoneticPr fontId="1" type="noConversion"/>
  </si>
  <si>
    <t>宠物进阶</t>
    <phoneticPr fontId="1" type="noConversion"/>
  </si>
  <si>
    <t>SLG攻击</t>
    <phoneticPr fontId="1" type="noConversion"/>
  </si>
  <si>
    <t>SLG防御</t>
    <phoneticPr fontId="1" type="noConversion"/>
  </si>
  <si>
    <t>SLG生命</t>
    <phoneticPr fontId="1" type="noConversion"/>
  </si>
  <si>
    <t>等级</t>
    <phoneticPr fontId="1" type="noConversion"/>
  </si>
  <si>
    <t>蓝色白板</t>
    <phoneticPr fontId="1" type="noConversion"/>
  </si>
  <si>
    <t>紫色白板</t>
    <phoneticPr fontId="1" type="noConversion"/>
  </si>
  <si>
    <t>金色白板</t>
    <phoneticPr fontId="1" type="noConversion"/>
  </si>
  <si>
    <t>倍率</t>
    <phoneticPr fontId="1" type="noConversion"/>
  </si>
  <si>
    <t>英雄名</t>
    <phoneticPr fontId="1" type="noConversion"/>
  </si>
  <si>
    <t>攻击偏移</t>
    <phoneticPr fontId="1" type="noConversion"/>
  </si>
  <si>
    <t>防御偏移</t>
    <phoneticPr fontId="1" type="noConversion"/>
  </si>
  <si>
    <t>血量偏移</t>
    <phoneticPr fontId="1" type="noConversion"/>
  </si>
  <si>
    <t>品质</t>
    <phoneticPr fontId="1" type="noConversion"/>
  </si>
  <si>
    <t>东</t>
    <phoneticPr fontId="1" type="noConversion"/>
  </si>
  <si>
    <t>苏西</t>
    <phoneticPr fontId="1" type="noConversion"/>
  </si>
  <si>
    <t>蓝</t>
    <phoneticPr fontId="1" type="noConversion"/>
  </si>
  <si>
    <t>紫</t>
    <phoneticPr fontId="1" type="noConversion"/>
  </si>
  <si>
    <t>输入英雄：</t>
    <phoneticPr fontId="1" type="noConversion"/>
  </si>
  <si>
    <t>杰玛</t>
    <phoneticPr fontId="1" type="noConversion"/>
  </si>
  <si>
    <t>奈乔</t>
    <phoneticPr fontId="1" type="noConversion"/>
  </si>
  <si>
    <t>百分比攻防血</t>
    <phoneticPr fontId="1" type="noConversion"/>
  </si>
  <si>
    <t>紫色</t>
    <phoneticPr fontId="1" type="noConversion"/>
  </si>
  <si>
    <t>蓝色</t>
    <phoneticPr fontId="1" type="noConversion"/>
  </si>
  <si>
    <t>金色</t>
    <phoneticPr fontId="1" type="noConversion"/>
  </si>
  <si>
    <t>T级</t>
    <phoneticPr fontId="1" type="noConversion"/>
  </si>
  <si>
    <t>每一点战力</t>
    <phoneticPr fontId="1" type="noConversion"/>
  </si>
  <si>
    <t>超大R</t>
    <phoneticPr fontId="1" type="noConversion"/>
  </si>
  <si>
    <t>星级</t>
    <phoneticPr fontId="1" type="noConversion"/>
  </si>
  <si>
    <t>头</t>
    <phoneticPr fontId="1" type="noConversion"/>
  </si>
  <si>
    <t>身</t>
    <phoneticPr fontId="1" type="noConversion"/>
  </si>
  <si>
    <t>腰</t>
    <phoneticPr fontId="1" type="noConversion"/>
  </si>
  <si>
    <t>脚</t>
    <phoneticPr fontId="1" type="noConversion"/>
  </si>
  <si>
    <t>手</t>
    <phoneticPr fontId="1" type="noConversion"/>
  </si>
  <si>
    <t>倾向</t>
    <phoneticPr fontId="1" type="noConversion"/>
  </si>
  <si>
    <t>金</t>
    <phoneticPr fontId="1" type="noConversion"/>
  </si>
  <si>
    <t>伤害</t>
    <phoneticPr fontId="1" type="noConversion"/>
  </si>
  <si>
    <t>承受</t>
    <phoneticPr fontId="1" type="noConversion"/>
  </si>
  <si>
    <t>辅助</t>
    <phoneticPr fontId="1" type="noConversion"/>
  </si>
  <si>
    <t>T1</t>
    <phoneticPr fontId="1" type="noConversion"/>
  </si>
  <si>
    <t>T2</t>
    <phoneticPr fontId="1" type="noConversion"/>
  </si>
  <si>
    <t>超R</t>
    <phoneticPr fontId="1" type="noConversion"/>
  </si>
  <si>
    <t>装备属性比例：</t>
    <phoneticPr fontId="1" type="noConversion"/>
  </si>
  <si>
    <t>三品质倍率</t>
    <phoneticPr fontId="1" type="noConversion"/>
  </si>
  <si>
    <t>战力配平</t>
    <phoneticPr fontId="1" type="noConversion"/>
  </si>
  <si>
    <t>T级系数</t>
    <phoneticPr fontId="1" type="noConversion"/>
  </si>
  <si>
    <t>按摩师</t>
    <phoneticPr fontId="1" type="noConversion"/>
  </si>
  <si>
    <t>金鼻子</t>
    <phoneticPr fontId="1" type="noConversion"/>
  </si>
  <si>
    <t>华特</t>
    <phoneticPr fontId="1" type="noConversion"/>
  </si>
  <si>
    <t>南希</t>
    <phoneticPr fontId="1" type="noConversion"/>
  </si>
  <si>
    <t>杰登</t>
    <phoneticPr fontId="1" type="noConversion"/>
  </si>
  <si>
    <t>大鹅</t>
    <phoneticPr fontId="1" type="noConversion"/>
  </si>
  <si>
    <t>吉尔伯特</t>
    <phoneticPr fontId="1" type="noConversion"/>
  </si>
  <si>
    <t>E-girl</t>
    <phoneticPr fontId="1" type="noConversion"/>
  </si>
  <si>
    <t>审判长</t>
    <phoneticPr fontId="1" type="noConversion"/>
  </si>
  <si>
    <t>综合比例</t>
    <phoneticPr fontId="1" type="noConversion"/>
  </si>
  <si>
    <t>硬汉</t>
  </si>
  <si>
    <t>硬汉</t>
    <phoneticPr fontId="1" type="noConversion"/>
  </si>
  <si>
    <t>战力</t>
    <phoneticPr fontId="1" type="noConversion"/>
  </si>
  <si>
    <t>战力提升</t>
    <phoneticPr fontId="1" type="noConversion"/>
  </si>
  <si>
    <t>强化等级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</si>
  <si>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</si>
  <si>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</si>
  <si>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</si>
  <si>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属性提升比例</t>
    <phoneticPr fontId="1" type="noConversion"/>
  </si>
  <si>
    <t>SLG攻</t>
    <phoneticPr fontId="1" type="noConversion"/>
  </si>
  <si>
    <t>SLG防</t>
    <phoneticPr fontId="1" type="noConversion"/>
  </si>
  <si>
    <t>SLG血</t>
    <phoneticPr fontId="1" type="noConversion"/>
  </si>
  <si>
    <t>比率</t>
    <phoneticPr fontId="1" type="noConversion"/>
  </si>
  <si>
    <t>英雄</t>
  </si>
  <si>
    <t>英雄</t>
    <phoneticPr fontId="1" type="noConversion"/>
  </si>
  <si>
    <t>英雄1</t>
    <phoneticPr fontId="1" type="noConversion"/>
  </si>
  <si>
    <t>升星</t>
    <phoneticPr fontId="1" type="noConversion"/>
  </si>
  <si>
    <t>装备品质</t>
    <phoneticPr fontId="1" type="noConversion"/>
  </si>
  <si>
    <t>装备数量</t>
    <phoneticPr fontId="1" type="noConversion"/>
  </si>
  <si>
    <t>英雄2</t>
    <phoneticPr fontId="1" type="noConversion"/>
  </si>
  <si>
    <t>英雄3</t>
    <phoneticPr fontId="1" type="noConversion"/>
  </si>
  <si>
    <t>宠物品质</t>
    <phoneticPr fontId="1" type="noConversion"/>
  </si>
  <si>
    <t>宠物等级</t>
    <phoneticPr fontId="1" type="noConversion"/>
  </si>
  <si>
    <t>宠物星级</t>
    <phoneticPr fontId="1" type="noConversion"/>
  </si>
  <si>
    <t>超大Rday1</t>
    <phoneticPr fontId="1" type="noConversion"/>
  </si>
  <si>
    <t>超大Rday2</t>
  </si>
  <si>
    <t>超大Rday3</t>
  </si>
  <si>
    <t>超大Rday4</t>
  </si>
  <si>
    <t>超大Rday5</t>
  </si>
  <si>
    <t>超大Rday6</t>
  </si>
  <si>
    <t>超大Rday7</t>
  </si>
  <si>
    <t>效果抗性</t>
    <phoneticPr fontId="1" type="noConversion"/>
  </si>
  <si>
    <t>活跃day2</t>
  </si>
  <si>
    <t>活跃day3</t>
  </si>
  <si>
    <t>活跃day4</t>
  </si>
  <si>
    <t>活跃day5</t>
  </si>
  <si>
    <t>活跃day6</t>
  </si>
  <si>
    <t>活跃day7</t>
  </si>
  <si>
    <t>装备强化</t>
  </si>
  <si>
    <t>次数</t>
    <phoneticPr fontId="1" type="noConversion"/>
  </si>
  <si>
    <t>占比</t>
    <phoneticPr fontId="1" type="noConversion"/>
  </si>
  <si>
    <t>词条每战力单位平均出现次数比例：</t>
    <phoneticPr fontId="1" type="noConversion"/>
  </si>
  <si>
    <t>活跃day1</t>
    <phoneticPr fontId="1" type="noConversion"/>
  </si>
  <si>
    <t>超R</t>
  </si>
  <si>
    <t>day1</t>
    <phoneticPr fontId="1" type="noConversion"/>
  </si>
  <si>
    <t>day2</t>
    <phoneticPr fontId="1" type="noConversion"/>
  </si>
  <si>
    <t>day3</t>
  </si>
  <si>
    <t>day4</t>
  </si>
  <si>
    <t>day5</t>
  </si>
  <si>
    <t>day6</t>
  </si>
  <si>
    <t>day7</t>
  </si>
  <si>
    <t>lv(pay)</t>
  </si>
  <si>
    <t>day</t>
  </si>
  <si>
    <t>功能解锁</t>
  </si>
  <si>
    <t>雷达lv(pay)</t>
  </si>
  <si>
    <t>宠物</t>
  </si>
  <si>
    <t>英雄升级</t>
  </si>
  <si>
    <t>抽卡(英雄强化)</t>
  </si>
  <si>
    <t>45m</t>
  </si>
  <si>
    <t>雷达+出城+slg+饼干</t>
  </si>
  <si>
    <t>联盟</t>
  </si>
  <si>
    <t>2,3(4,5)</t>
  </si>
  <si>
    <t>90m</t>
  </si>
  <si>
    <t>英雄突破</t>
  </si>
  <si>
    <t>10(11)</t>
  </si>
  <si>
    <t>5(6)</t>
  </si>
  <si>
    <t>工坊+装备打造</t>
  </si>
  <si>
    <t>6(7)</t>
  </si>
  <si>
    <t>13(14)</t>
  </si>
  <si>
    <t>6(8)</t>
  </si>
  <si>
    <t>15(16)</t>
  </si>
  <si>
    <t>蜂蜜+宠物升级</t>
  </si>
  <si>
    <t>7(9)</t>
  </si>
  <si>
    <t>8(10)</t>
  </si>
  <si>
    <t>17(18)</t>
  </si>
  <si>
    <t>9(11)</t>
  </si>
  <si>
    <t>10(13)</t>
  </si>
  <si>
    <t>19(20)</t>
  </si>
  <si>
    <t>11(14)</t>
  </si>
  <si>
    <t>12(15)</t>
  </si>
  <si>
    <t>se爬塔</t>
  </si>
  <si>
    <t>打造解锁</t>
  </si>
  <si>
    <t>付费事件</t>
  </si>
  <si>
    <t>抽卡</t>
  </si>
  <si>
    <t>首充英雄</t>
  </si>
  <si>
    <t>商店+广告变现</t>
  </si>
  <si>
    <t>二队列+常驻礼包</t>
  </si>
  <si>
    <t>英雄养成礼包</t>
  </si>
  <si>
    <t>体力礼包</t>
  </si>
  <si>
    <t>1紫2蓝</t>
  </si>
  <si>
    <t>T1头</t>
  </si>
  <si>
    <t>邮件广告变现</t>
  </si>
  <si>
    <t>T1身</t>
  </si>
  <si>
    <t>装备礼包</t>
  </si>
  <si>
    <t>1橙2紫</t>
  </si>
  <si>
    <t>T1腰</t>
  </si>
  <si>
    <t>T1脚</t>
  </si>
  <si>
    <t>T1手</t>
  </si>
  <si>
    <t>生存之路1</t>
  </si>
  <si>
    <t>抽卡礼包</t>
  </si>
  <si>
    <t>生存之路2</t>
  </si>
  <si>
    <t>2橙1紫</t>
  </si>
  <si>
    <t>英雄技能礼包</t>
  </si>
  <si>
    <t>养成进度</t>
  </si>
  <si>
    <t>付费结构</t>
  </si>
  <si>
    <t>英雄lv</t>
  </si>
  <si>
    <t>{10,10,10,1}</t>
  </si>
  <si>
    <t>{12,10,10,5}</t>
  </si>
  <si>
    <t>{12,12,12,10}</t>
  </si>
  <si>
    <t>{15,15,15,10,1}</t>
  </si>
  <si>
    <t>{18,18,18,11,5}</t>
  </si>
  <si>
    <t>{20,20,20,15,10}</t>
  </si>
  <si>
    <t>{22,20,20,20,11,1}</t>
  </si>
  <si>
    <t>{22,22,20,20,15,10}</t>
  </si>
  <si>
    <t>{22,22,22,20,20,11}</t>
  </si>
  <si>
    <t>{24,24,24,22,20,15}</t>
  </si>
  <si>
    <t>{26,26,26,22,22,20}</t>
  </si>
  <si>
    <t>{28,28,28,22,22,22}</t>
  </si>
  <si>
    <t>{30,30,30,24,24,24}</t>
  </si>
  <si>
    <t>users</t>
  </si>
  <si>
    <t>num%</t>
  </si>
  <si>
    <t>pay</t>
  </si>
  <si>
    <t>ltv</t>
  </si>
  <si>
    <t>pass%</t>
  </si>
  <si>
    <t>超</t>
  </si>
  <si>
    <t>大</t>
  </si>
  <si>
    <t>中</t>
  </si>
  <si>
    <t>小</t>
  </si>
  <si>
    <t>非</t>
  </si>
  <si>
    <t>养成关注点</t>
    <phoneticPr fontId="1" type="noConversion"/>
  </si>
  <si>
    <t>队伍情况（中小R只养1队，大R配3队养1队，橙色战宠均保留）</t>
  </si>
  <si>
    <t>队伍1</t>
  </si>
  <si>
    <t>3橙</t>
  </si>
  <si>
    <t>队伍2</t>
  </si>
  <si>
    <t>3紫</t>
  </si>
  <si>
    <t>队伍3</t>
  </si>
  <si>
    <t>3蓝</t>
  </si>
  <si>
    <t>总计</t>
  </si>
  <si>
    <t>总计-整数</t>
  </si>
  <si>
    <t>Day1</t>
  </si>
  <si>
    <t>Day2</t>
  </si>
  <si>
    <t>Day3</t>
  </si>
  <si>
    <t>Day4</t>
  </si>
  <si>
    <t>Day5</t>
  </si>
  <si>
    <t>Day6</t>
  </si>
  <si>
    <t>Day7</t>
  </si>
  <si>
    <t>中小R</t>
  </si>
  <si>
    <t>普通</t>
  </si>
  <si>
    <t>上限</t>
  </si>
  <si>
    <t>橙</t>
  </si>
  <si>
    <t>紫</t>
  </si>
  <si>
    <t>蓝</t>
  </si>
  <si>
    <t>绿</t>
  </si>
  <si>
    <t>剩余经验</t>
  </si>
  <si>
    <t>单队伍战宠技能平均等级（只算1队、平均升，适合超R）</t>
  </si>
  <si>
    <t>队伍技能等级</t>
  </si>
  <si>
    <t>单队伍单只战宠技能平均等级（只算1只战宠、平均升，适合中小R）</t>
  </si>
  <si>
    <t>队伍装备情况</t>
  </si>
  <si>
    <t>1紫3蓝6绿</t>
  </si>
  <si>
    <t>2紫7蓝6绿</t>
  </si>
  <si>
    <t>4紫11蓝</t>
  </si>
  <si>
    <t>3紫10蓝2绿</t>
  </si>
  <si>
    <t>6紫9蓝</t>
  </si>
  <si>
    <t>8紫7蓝</t>
  </si>
  <si>
    <t>5紫10蓝</t>
  </si>
  <si>
    <t>1橙10紫4蓝</t>
  </si>
  <si>
    <t>1橙12紫2蓝</t>
  </si>
  <si>
    <t>7紫8蓝</t>
  </si>
  <si>
    <t>1橙14紫</t>
  </si>
  <si>
    <t>5绿</t>
  </si>
  <si>
    <t>4蓝11绿</t>
  </si>
  <si>
    <t>15绿</t>
  </si>
  <si>
    <t>12蓝3绿</t>
  </si>
  <si>
    <t>15蓝</t>
  </si>
  <si>
    <t>7蓝8绿</t>
  </si>
  <si>
    <t>10绿</t>
  </si>
  <si>
    <t>6蓝9绿</t>
  </si>
  <si>
    <t>1蓝14绿</t>
  </si>
  <si>
    <t>投放经验(=免费+付费）</t>
  </si>
  <si>
    <t>联盟商店投放+付费投放</t>
  </si>
  <si>
    <t>装备等级</t>
  </si>
  <si>
    <t>-</t>
  </si>
  <si>
    <t>英雄部分空缺</t>
    <phoneticPr fontId="1" type="noConversion"/>
  </si>
  <si>
    <t>战宠</t>
    <phoneticPr fontId="1" type="noConversion"/>
  </si>
  <si>
    <t>宠物</t>
    <phoneticPr fontId="1" type="noConversion"/>
  </si>
  <si>
    <r>
      <rPr>
        <sz val="10"/>
        <color theme="1"/>
        <rFont val="微软雅黑"/>
        <family val="2"/>
        <charset val="134"/>
      </rPr>
      <t>宠物升阶</t>
    </r>
    <r>
      <rPr>
        <sz val="10"/>
        <color theme="1"/>
        <rFont val="Calibri"/>
        <family val="2"/>
      </rPr>
      <t>+</t>
    </r>
    <r>
      <rPr>
        <sz val="10"/>
        <color theme="1"/>
        <rFont val="微软雅黑"/>
        <family val="2"/>
        <charset val="134"/>
      </rPr>
      <t>爬塔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</si>
</sst>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2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 tint="0.499984740745262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rgb="FFFFFFFF"/>
      <name val="Microsoft YaHei UI"/>
      <family val="2"/>
      <charset val="134"/>
    </font>
    <font>
      <b/>
      <sz val="10"/>
      <color rgb="FFFF9900"/>
      <name val="Calibri"/>
      <family val="2"/>
    </font>
    <font>
      <b/>
      <sz val="10"/>
      <color rgb="FF00FF00"/>
      <name val="Calibri"/>
      <family val="2"/>
    </font>
    <font>
      <sz val="10"/>
      <color rgb="FFFFFFFF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Microsoft YaHei UI"/>
      <family val="2"/>
      <charset val="134"/>
    </font>
    <font>
      <b/>
      <sz val="18"/>
      <color theme="1"/>
      <name val="Microsoft YaHei UI"/>
      <family val="2"/>
      <charset val="134"/>
    </font>
    <font>
      <b/>
      <sz val="16"/>
      <color rgb="FFFF0000"/>
      <name val="Microsoft YaHei UI"/>
      <family val="2"/>
      <charset val="134"/>
    </font>
    <font>
      <sz val="16"/>
      <color theme="0"/>
      <name val="Microsoft YaHei UI"/>
      <family val="2"/>
      <charset val="134"/>
    </font>
    <font>
      <b/>
      <sz val="11"/>
      <color rgb="FFFF0000"/>
      <name val="Microsoft YaHei UI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DF5F4"/>
        <bgColor indexed="64"/>
      </patternFill>
    </fill>
    <fill>
      <patternFill patternType="solid">
        <fgColor rgb="FFFBE9E7"/>
        <bgColor indexed="64"/>
      </patternFill>
    </fill>
    <fill>
      <patternFill patternType="solid">
        <fgColor rgb="FFF9DFDD"/>
        <bgColor indexed="64"/>
      </patternFill>
    </fill>
    <fill>
      <patternFill patternType="solid">
        <fgColor rgb="FFF8D6D4"/>
        <bgColor indexed="64"/>
      </patternFill>
    </fill>
    <fill>
      <patternFill patternType="solid">
        <fgColor rgb="FFF6D0CD"/>
        <bgColor indexed="64"/>
      </patternFill>
    </fill>
    <fill>
      <patternFill patternType="solid">
        <fgColor rgb="FFF4C1BD"/>
        <bgColor indexed="64"/>
      </patternFill>
    </fill>
    <fill>
      <patternFill patternType="solid">
        <fgColor rgb="FFF0AFA9"/>
        <bgColor indexed="64"/>
      </patternFill>
    </fill>
    <fill>
      <patternFill patternType="solid">
        <fgColor rgb="FFED9E97"/>
        <bgColor indexed="64"/>
      </patternFill>
    </fill>
    <fill>
      <patternFill patternType="solid">
        <fgColor rgb="FFE98A82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84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3" borderId="1" xfId="0" applyFill="1" applyBorder="1"/>
    <xf numFmtId="0" fontId="4" fillId="0" borderId="1" xfId="0" applyFont="1" applyBorder="1"/>
    <xf numFmtId="0" fontId="5" fillId="0" borderId="1" xfId="0" applyFont="1" applyBorder="1"/>
    <xf numFmtId="0" fontId="0" fillId="0" borderId="5" xfId="0" applyBorder="1"/>
    <xf numFmtId="0" fontId="0" fillId="7" borderId="1" xfId="0" applyFill="1" applyBorder="1"/>
    <xf numFmtId="0" fontId="6" fillId="0" borderId="5" xfId="0" applyFont="1" applyBorder="1"/>
    <xf numFmtId="0" fontId="7" fillId="0" borderId="1" xfId="0" applyFont="1" applyBorder="1"/>
    <xf numFmtId="0" fontId="4" fillId="0" borderId="5" xfId="0" applyFont="1" applyBorder="1"/>
    <xf numFmtId="0" fontId="4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/>
    <xf numFmtId="176" fontId="0" fillId="0" borderId="1" xfId="0" applyNumberFormat="1" applyBorder="1"/>
    <xf numFmtId="0" fontId="3" fillId="0" borderId="1" xfId="0" applyFont="1" applyBorder="1"/>
    <xf numFmtId="0" fontId="3" fillId="7" borderId="1" xfId="0" applyFont="1" applyFill="1" applyBorder="1"/>
    <xf numFmtId="0" fontId="0" fillId="8" borderId="1" xfId="0" applyFill="1" applyBorder="1"/>
    <xf numFmtId="0" fontId="3" fillId="8" borderId="1" xfId="0" applyFont="1" applyFill="1" applyBorder="1"/>
    <xf numFmtId="1" fontId="3" fillId="0" borderId="1" xfId="0" applyNumberFormat="1" applyFont="1" applyBorder="1"/>
    <xf numFmtId="0" fontId="3" fillId="0" borderId="5" xfId="0" applyFont="1" applyBorder="1"/>
    <xf numFmtId="0" fontId="0" fillId="6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6" xfId="0" applyFill="1" applyBorder="1"/>
    <xf numFmtId="0" fontId="3" fillId="3" borderId="1" xfId="0" applyFont="1" applyFill="1" applyBorder="1"/>
    <xf numFmtId="0" fontId="0" fillId="5" borderId="1" xfId="0" applyFill="1" applyBorder="1"/>
    <xf numFmtId="0" fontId="0" fillId="1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8" borderId="0" xfId="0" applyFill="1"/>
    <xf numFmtId="9" fontId="0" fillId="0" borderId="1" xfId="0" applyNumberFormat="1" applyBorder="1"/>
    <xf numFmtId="177" fontId="5" fillId="0" borderId="1" xfId="0" applyNumberFormat="1" applyFont="1" applyBorder="1"/>
    <xf numFmtId="2" fontId="5" fillId="0" borderId="1" xfId="0" applyNumberFormat="1" applyFont="1" applyBorder="1"/>
    <xf numFmtId="1" fontId="4" fillId="0" borderId="1" xfId="0" applyNumberFormat="1" applyFont="1" applyBorder="1"/>
    <xf numFmtId="0" fontId="0" fillId="14" borderId="1" xfId="0" applyFill="1" applyBorder="1"/>
    <xf numFmtId="0" fontId="11" fillId="0" borderId="1" xfId="0" applyFont="1" applyBorder="1"/>
    <xf numFmtId="0" fontId="11" fillId="0" borderId="0" xfId="0" applyFont="1"/>
    <xf numFmtId="0" fontId="12" fillId="0" borderId="1" xfId="0" applyFont="1" applyBorder="1"/>
    <xf numFmtId="9" fontId="12" fillId="0" borderId="1" xfId="1" applyFont="1" applyBorder="1" applyAlignment="1"/>
    <xf numFmtId="0" fontId="12" fillId="0" borderId="1" xfId="1" applyNumberFormat="1" applyFont="1" applyBorder="1" applyAlignment="1"/>
    <xf numFmtId="0" fontId="11" fillId="0" borderId="4" xfId="0" applyFont="1" applyBorder="1"/>
    <xf numFmtId="0" fontId="12" fillId="0" borderId="4" xfId="0" applyFont="1" applyBorder="1"/>
    <xf numFmtId="0" fontId="11" fillId="0" borderId="13" xfId="0" applyFont="1" applyBorder="1"/>
    <xf numFmtId="0" fontId="11" fillId="0" borderId="14" xfId="0" applyFont="1" applyBorder="1"/>
    <xf numFmtId="0" fontId="12" fillId="0" borderId="13" xfId="0" applyFont="1" applyBorder="1"/>
    <xf numFmtId="0" fontId="12" fillId="0" borderId="14" xfId="0" applyFont="1" applyBorder="1"/>
    <xf numFmtId="9" fontId="12" fillId="0" borderId="14" xfId="1" applyFont="1" applyBorder="1" applyAlignment="1"/>
    <xf numFmtId="0" fontId="12" fillId="0" borderId="14" xfId="1" applyNumberFormat="1" applyFont="1" applyBorder="1" applyAlignment="1"/>
    <xf numFmtId="0" fontId="11" fillId="0" borderId="0" xfId="0" applyFont="1" applyBorder="1"/>
    <xf numFmtId="0" fontId="13" fillId="15" borderId="18" xfId="0" applyFont="1" applyFill="1" applyBorder="1" applyAlignment="1">
      <alignment wrapText="1"/>
    </xf>
    <xf numFmtId="0" fontId="14" fillId="0" borderId="18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16" borderId="18" xfId="0" applyFont="1" applyFill="1" applyBorder="1" applyAlignment="1">
      <alignment wrapText="1"/>
    </xf>
    <xf numFmtId="0" fontId="16" fillId="15" borderId="18" xfId="0" applyFont="1" applyFill="1" applyBorder="1" applyAlignment="1">
      <alignment wrapText="1"/>
    </xf>
    <xf numFmtId="0" fontId="17" fillId="17" borderId="18" xfId="0" applyFont="1" applyFill="1" applyBorder="1" applyAlignment="1">
      <alignment wrapText="1"/>
    </xf>
    <xf numFmtId="0" fontId="15" fillId="15" borderId="18" xfId="0" applyFont="1" applyFill="1" applyBorder="1" applyAlignment="1">
      <alignment wrapText="1"/>
    </xf>
    <xf numFmtId="0" fontId="18" fillId="17" borderId="18" xfId="0" applyFont="1" applyFill="1" applyBorder="1" applyAlignment="1">
      <alignment wrapText="1"/>
    </xf>
    <xf numFmtId="0" fontId="19" fillId="18" borderId="18" xfId="0" applyFont="1" applyFill="1" applyBorder="1" applyAlignment="1">
      <alignment wrapText="1"/>
    </xf>
    <xf numFmtId="0" fontId="19" fillId="19" borderId="18" xfId="0" applyFont="1" applyFill="1" applyBorder="1" applyAlignment="1">
      <alignment wrapText="1"/>
    </xf>
    <xf numFmtId="0" fontId="19" fillId="17" borderId="18" xfId="0" applyFont="1" applyFill="1" applyBorder="1" applyAlignment="1">
      <alignment wrapText="1"/>
    </xf>
    <xf numFmtId="0" fontId="19" fillId="20" borderId="18" xfId="0" applyFont="1" applyFill="1" applyBorder="1" applyAlignment="1">
      <alignment wrapText="1"/>
    </xf>
    <xf numFmtId="0" fontId="20" fillId="16" borderId="18" xfId="0" applyFont="1" applyFill="1" applyBorder="1" applyAlignment="1">
      <alignment wrapText="1"/>
    </xf>
    <xf numFmtId="10" fontId="14" fillId="0" borderId="18" xfId="0" applyNumberFormat="1" applyFont="1" applyBorder="1" applyAlignment="1">
      <alignment wrapText="1"/>
    </xf>
    <xf numFmtId="0" fontId="20" fillId="21" borderId="18" xfId="0" applyFont="1" applyFill="1" applyBorder="1" applyAlignment="1">
      <alignment wrapText="1"/>
    </xf>
    <xf numFmtId="0" fontId="20" fillId="22" borderId="18" xfId="0" applyFont="1" applyFill="1" applyBorder="1" applyAlignment="1">
      <alignment wrapText="1"/>
    </xf>
    <xf numFmtId="0" fontId="20" fillId="23" borderId="18" xfId="0" applyFont="1" applyFill="1" applyBorder="1" applyAlignment="1">
      <alignment wrapText="1"/>
    </xf>
    <xf numFmtId="0" fontId="20" fillId="24" borderId="18" xfId="0" applyFont="1" applyFill="1" applyBorder="1" applyAlignment="1">
      <alignment wrapText="1"/>
    </xf>
    <xf numFmtId="0" fontId="20" fillId="25" borderId="18" xfId="0" applyFont="1" applyFill="1" applyBorder="1" applyAlignment="1">
      <alignment wrapText="1"/>
    </xf>
    <xf numFmtId="0" fontId="20" fillId="26" borderId="18" xfId="0" applyFont="1" applyFill="1" applyBorder="1" applyAlignment="1">
      <alignment wrapText="1"/>
    </xf>
    <xf numFmtId="0" fontId="20" fillId="27" borderId="18" xfId="0" applyFont="1" applyFill="1" applyBorder="1" applyAlignment="1">
      <alignment wrapText="1"/>
    </xf>
    <xf numFmtId="0" fontId="20" fillId="28" borderId="18" xfId="0" applyFont="1" applyFill="1" applyBorder="1" applyAlignment="1">
      <alignment wrapText="1"/>
    </xf>
    <xf numFmtId="0" fontId="20" fillId="29" borderId="18" xfId="0" applyFont="1" applyFill="1" applyBorder="1" applyAlignment="1">
      <alignment wrapText="1"/>
    </xf>
    <xf numFmtId="0" fontId="20" fillId="30" borderId="18" xfId="0" applyFont="1" applyFill="1" applyBorder="1" applyAlignment="1">
      <alignment wrapText="1"/>
    </xf>
    <xf numFmtId="0" fontId="22" fillId="0" borderId="0" xfId="0" applyFont="1"/>
    <xf numFmtId="0" fontId="23" fillId="0" borderId="0" xfId="2" applyFont="1">
      <alignment vertical="center"/>
    </xf>
    <xf numFmtId="0" fontId="11" fillId="0" borderId="0" xfId="2" applyFont="1">
      <alignment vertical="center"/>
    </xf>
    <xf numFmtId="0" fontId="11" fillId="0" borderId="22" xfId="2" applyFont="1" applyBorder="1">
      <alignment vertical="center"/>
    </xf>
    <xf numFmtId="0" fontId="11" fillId="0" borderId="23" xfId="2" applyFont="1" applyBorder="1">
      <alignment vertical="center"/>
    </xf>
    <xf numFmtId="0" fontId="11" fillId="0" borderId="24" xfId="2" applyFont="1" applyBorder="1">
      <alignment vertical="center"/>
    </xf>
    <xf numFmtId="0" fontId="11" fillId="0" borderId="25" xfId="2" applyFont="1" applyBorder="1">
      <alignment vertical="center"/>
    </xf>
    <xf numFmtId="0" fontId="11" fillId="0" borderId="26" xfId="2" applyFont="1" applyBorder="1">
      <alignment vertical="center"/>
    </xf>
    <xf numFmtId="0" fontId="11" fillId="0" borderId="27" xfId="2" applyFont="1" applyBorder="1">
      <alignment vertical="center"/>
    </xf>
    <xf numFmtId="0" fontId="11" fillId="0" borderId="28" xfId="2" applyFont="1" applyBorder="1">
      <alignment vertical="center"/>
    </xf>
    <xf numFmtId="0" fontId="11" fillId="0" borderId="29" xfId="2" applyFont="1" applyBorder="1">
      <alignment vertical="center"/>
    </xf>
    <xf numFmtId="0" fontId="11" fillId="0" borderId="30" xfId="2" applyFont="1" applyBorder="1" applyAlignment="1">
      <alignment horizontal="center" vertical="center"/>
    </xf>
    <xf numFmtId="0" fontId="11" fillId="0" borderId="32" xfId="2" applyFont="1" applyBorder="1" applyAlignment="1">
      <alignment horizontal="center" vertical="center"/>
    </xf>
    <xf numFmtId="0" fontId="11" fillId="0" borderId="31" xfId="2" applyFont="1" applyBorder="1" applyAlignment="1">
      <alignment horizontal="center" vertical="center"/>
    </xf>
    <xf numFmtId="0" fontId="11" fillId="0" borderId="33" xfId="2" applyFont="1" applyBorder="1" applyAlignment="1">
      <alignment horizontal="center" vertical="center"/>
    </xf>
    <xf numFmtId="1" fontId="11" fillId="5" borderId="0" xfId="2" applyNumberFormat="1" applyFont="1" applyFill="1" applyAlignment="1">
      <alignment horizontal="center" vertical="center"/>
    </xf>
    <xf numFmtId="1" fontId="11" fillId="5" borderId="26" xfId="2" applyNumberFormat="1" applyFont="1" applyFill="1" applyBorder="1" applyAlignment="1">
      <alignment horizontal="center" vertical="center"/>
    </xf>
    <xf numFmtId="0" fontId="11" fillId="0" borderId="34" xfId="2" applyFont="1" applyBorder="1" applyAlignment="1">
      <alignment horizontal="center" vertical="center"/>
    </xf>
    <xf numFmtId="1" fontId="11" fillId="2" borderId="0" xfId="2" applyNumberFormat="1" applyFont="1" applyFill="1" applyAlignment="1">
      <alignment horizontal="center" vertical="center"/>
    </xf>
    <xf numFmtId="1" fontId="11" fillId="2" borderId="26" xfId="2" applyNumberFormat="1" applyFont="1" applyFill="1" applyBorder="1" applyAlignment="1">
      <alignment horizontal="center" vertical="center"/>
    </xf>
    <xf numFmtId="1" fontId="11" fillId="31" borderId="0" xfId="2" applyNumberFormat="1" applyFont="1" applyFill="1" applyAlignment="1">
      <alignment horizontal="center" vertical="center"/>
    </xf>
    <xf numFmtId="1" fontId="11" fillId="31" borderId="26" xfId="2" applyNumberFormat="1" applyFont="1" applyFill="1" applyBorder="1" applyAlignment="1">
      <alignment horizontal="center" vertical="center"/>
    </xf>
    <xf numFmtId="0" fontId="11" fillId="0" borderId="35" xfId="2" applyFont="1" applyBorder="1" applyAlignment="1">
      <alignment horizontal="center" vertical="center"/>
    </xf>
    <xf numFmtId="1" fontId="11" fillId="32" borderId="28" xfId="2" applyNumberFormat="1" applyFont="1" applyFill="1" applyBorder="1" applyAlignment="1">
      <alignment horizontal="center" vertical="center"/>
    </xf>
    <xf numFmtId="1" fontId="11" fillId="32" borderId="29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30" xfId="2" applyFont="1" applyBorder="1">
      <alignment vertical="center"/>
    </xf>
    <xf numFmtId="0" fontId="11" fillId="0" borderId="9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4" fillId="9" borderId="25" xfId="2" applyFont="1" applyFill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25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27" fillId="0" borderId="18" xfId="0" applyFont="1" applyBorder="1" applyAlignment="1">
      <alignment wrapText="1"/>
    </xf>
    <xf numFmtId="0" fontId="11" fillId="0" borderId="22" xfId="0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25" xfId="0" applyFont="1" applyBorder="1"/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/>
    </xf>
    <xf numFmtId="0" fontId="11" fillId="0" borderId="24" xfId="2" applyFont="1" applyBorder="1" applyAlignment="1">
      <alignment horizontal="center" vertical="center"/>
    </xf>
    <xf numFmtId="0" fontId="23" fillId="0" borderId="26" xfId="2" applyFont="1" applyBorder="1" applyAlignment="1">
      <alignment horizontal="center" vertical="center" wrapText="1"/>
    </xf>
    <xf numFmtId="0" fontId="23" fillId="0" borderId="29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24" fillId="9" borderId="33" xfId="2" applyFont="1" applyFill="1" applyBorder="1" applyAlignment="1">
      <alignment horizontal="center" vertical="center"/>
    </xf>
    <xf numFmtId="0" fontId="24" fillId="9" borderId="35" xfId="2" applyFont="1" applyFill="1" applyBorder="1" applyAlignment="1">
      <alignment horizontal="center" vertical="center"/>
    </xf>
    <xf numFmtId="0" fontId="24" fillId="9" borderId="26" xfId="2" applyFont="1" applyFill="1" applyBorder="1" applyAlignment="1">
      <alignment horizontal="center" vertical="center"/>
    </xf>
    <xf numFmtId="0" fontId="24" fillId="9" borderId="29" xfId="2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8" borderId="38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8" borderId="36" xfId="0" applyFont="1" applyFill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4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4">
    <cellStyle name="百分比" xfId="1" builtinId="5"/>
    <cellStyle name="百分比 2" xfId="3" xr:uid="{1A3B3ECE-2C94-43F5-8FB7-28E17DE9B699}"/>
    <cellStyle name="常规" xfId="0" builtinId="0"/>
    <cellStyle name="常规 2" xfId="2" xr:uid="{726FD56C-B5D4-4AD9-B316-93ECACE671A2}"/>
  </cellStyles>
  <dxfs count="360"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单部队战力</a:t>
            </a:r>
            <a:r>
              <a:rPr lang="en-US" altLang="zh-CN"/>
              <a:t>-</a:t>
            </a:r>
            <a:r>
              <a:rPr lang="zh-CN" altLang="en-US"/>
              <a:t>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第一队强度测算!$B$43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第一队强度测算!$B$44:$B$50</c:f>
              <c:numCache>
                <c:formatCode>General</c:formatCode>
                <c:ptCount val="7"/>
                <c:pt idx="0">
                  <c:v>3360.93</c:v>
                </c:pt>
                <c:pt idx="1">
                  <c:v>5934.3600000000006</c:v>
                </c:pt>
                <c:pt idx="2">
                  <c:v>11725.8105</c:v>
                </c:pt>
                <c:pt idx="3">
                  <c:v>13262.061</c:v>
                </c:pt>
                <c:pt idx="4">
                  <c:v>15198.725999999999</c:v>
                </c:pt>
                <c:pt idx="5">
                  <c:v>16492.055999999997</c:v>
                </c:pt>
                <c:pt idx="6">
                  <c:v>18489.822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2-47E9-A4DE-EC697A373DBC}"/>
            </c:ext>
          </c:extLst>
        </c:ser>
        <c:ser>
          <c:idx val="1"/>
          <c:order val="1"/>
          <c:tx>
            <c:strRef>
              <c:f>第一队强度测算!$C$43</c:f>
              <c:strCache>
                <c:ptCount val="1"/>
                <c:pt idx="0">
                  <c:v>超R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第一队强度测算!$C$44:$C$50</c:f>
              <c:numCache>
                <c:formatCode>General</c:formatCode>
                <c:ptCount val="7"/>
                <c:pt idx="0">
                  <c:v>5883.8850000000002</c:v>
                </c:pt>
                <c:pt idx="1">
                  <c:v>9725.9279999999999</c:v>
                </c:pt>
                <c:pt idx="2">
                  <c:v>17419.9185</c:v>
                </c:pt>
                <c:pt idx="3">
                  <c:v>19282.595999999998</c:v>
                </c:pt>
                <c:pt idx="4">
                  <c:v>21993.773999999998</c:v>
                </c:pt>
                <c:pt idx="5">
                  <c:v>23931.024000000001</c:v>
                </c:pt>
                <c:pt idx="6">
                  <c:v>26958.18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2-47E9-A4DE-EC697A373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28448"/>
        <c:axId val="1105940928"/>
      </c:lineChart>
      <c:catAx>
        <c:axId val="110592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940928"/>
        <c:crosses val="autoZero"/>
        <c:auto val="1"/>
        <c:lblAlgn val="ctr"/>
        <c:lblOffset val="100"/>
        <c:noMultiLvlLbl val="0"/>
      </c:catAx>
      <c:valAx>
        <c:axId val="11059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9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英雄战力变化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'英雄数值模型-天'!$C$3:$C$10</c:f>
              <c:numCache>
                <c:formatCode>General</c:formatCode>
                <c:ptCount val="8"/>
                <c:pt idx="0">
                  <c:v>1466.25</c:v>
                </c:pt>
                <c:pt idx="1">
                  <c:v>2690.8</c:v>
                </c:pt>
                <c:pt idx="2">
                  <c:v>3542.7</c:v>
                </c:pt>
                <c:pt idx="3">
                  <c:v>4217.5</c:v>
                </c:pt>
                <c:pt idx="4">
                  <c:v>4554.8999999999996</c:v>
                </c:pt>
                <c:pt idx="5">
                  <c:v>4844.1000000000004</c:v>
                </c:pt>
                <c:pt idx="6">
                  <c:v>4988.7</c:v>
                </c:pt>
                <c:pt idx="7">
                  <c:v>5133.3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9-4659-8124-A834CC60A3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'英雄数值模型-天'!$N$3:$N$10</c:f>
              <c:numCache>
                <c:formatCode>General</c:formatCode>
                <c:ptCount val="8"/>
                <c:pt idx="0">
                  <c:v>1906.125</c:v>
                </c:pt>
                <c:pt idx="1">
                  <c:v>3979.7799999999997</c:v>
                </c:pt>
                <c:pt idx="2">
                  <c:v>5567.1</c:v>
                </c:pt>
                <c:pt idx="3">
                  <c:v>6579.3</c:v>
                </c:pt>
                <c:pt idx="4">
                  <c:v>7519.2</c:v>
                </c:pt>
                <c:pt idx="5">
                  <c:v>7981.92</c:v>
                </c:pt>
                <c:pt idx="6">
                  <c:v>8213.2800000000007</c:v>
                </c:pt>
                <c:pt idx="7">
                  <c:v>8444.64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9-4659-8124-A834CC60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011631"/>
        <c:axId val="1554349967"/>
      </c:lineChart>
      <c:catAx>
        <c:axId val="156401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349967"/>
        <c:crosses val="autoZero"/>
        <c:auto val="1"/>
        <c:lblAlgn val="ctr"/>
        <c:lblOffset val="100"/>
        <c:noMultiLvlLbl val="0"/>
      </c:catAx>
      <c:valAx>
        <c:axId val="15543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0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'战宠数值模型-天'!$C$3:$C$10</c:f>
              <c:numCache>
                <c:formatCode>General</c:formatCode>
                <c:ptCount val="8"/>
                <c:pt idx="0">
                  <c:v>932</c:v>
                </c:pt>
                <c:pt idx="1">
                  <c:v>1413.5</c:v>
                </c:pt>
                <c:pt idx="2">
                  <c:v>1804.8</c:v>
                </c:pt>
                <c:pt idx="3">
                  <c:v>2128</c:v>
                </c:pt>
                <c:pt idx="4">
                  <c:v>2296</c:v>
                </c:pt>
                <c:pt idx="5">
                  <c:v>2464</c:v>
                </c:pt>
                <c:pt idx="6">
                  <c:v>2548</c:v>
                </c:pt>
                <c:pt idx="7">
                  <c:v>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F-4D23-A3A1-18557133B4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'战宠数值模型-天'!$Q$3:$Q$10</c:f>
              <c:numCache>
                <c:formatCode>General</c:formatCode>
                <c:ptCount val="8"/>
                <c:pt idx="0">
                  <c:v>1025.2</c:v>
                </c:pt>
                <c:pt idx="1">
                  <c:v>1788.7200000000003</c:v>
                </c:pt>
                <c:pt idx="2">
                  <c:v>2251.2000000000003</c:v>
                </c:pt>
                <c:pt idx="3">
                  <c:v>2654.4</c:v>
                </c:pt>
                <c:pt idx="4">
                  <c:v>3094</c:v>
                </c:pt>
                <c:pt idx="5">
                  <c:v>3312.4000000000005</c:v>
                </c:pt>
                <c:pt idx="6">
                  <c:v>3421.6</c:v>
                </c:pt>
                <c:pt idx="7">
                  <c:v>3530.7999999999997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F-4D23-A3A1-18557133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6848"/>
        <c:axId val="98394848"/>
      </c:lineChart>
      <c:catAx>
        <c:axId val="9840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4848"/>
        <c:crosses val="autoZero"/>
        <c:auto val="1"/>
        <c:lblAlgn val="ctr"/>
        <c:lblOffset val="100"/>
        <c:noMultiLvlLbl val="0"/>
      </c:catAx>
      <c:valAx>
        <c:axId val="983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42</xdr:row>
      <xdr:rowOff>101600</xdr:rowOff>
    </xdr:from>
    <xdr:to>
      <xdr:col>14</xdr:col>
      <xdr:colOff>647700</xdr:colOff>
      <xdr:row>63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49DF30-B3C2-EC0E-9D11-2667407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13</xdr:row>
      <xdr:rowOff>138112</xdr:rowOff>
    </xdr:from>
    <xdr:to>
      <xdr:col>14</xdr:col>
      <xdr:colOff>223837</xdr:colOff>
      <xdr:row>28</xdr:row>
      <xdr:rowOff>166687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D833D1-8558-40D2-B018-B4C551253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12</xdr:row>
      <xdr:rowOff>120650</xdr:rowOff>
    </xdr:from>
    <xdr:to>
      <xdr:col>16</xdr:col>
      <xdr:colOff>146050</xdr:colOff>
      <xdr:row>28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B9E030-31BD-465E-73EB-6C8C36CF1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A72A-5CA7-487F-854A-975C2FC4A7EE}">
  <sheetPr>
    <tabColor rgb="FFFFFF00"/>
  </sheetPr>
  <dimension ref="A1:AC22"/>
  <sheetViews>
    <sheetView workbookViewId="0">
      <selection activeCell="C47" sqref="C47"/>
    </sheetView>
  </sheetViews>
  <sheetFormatPr defaultRowHeight="14.25" x14ac:dyDescent="0.2"/>
  <cols>
    <col min="3" max="3" width="10" customWidth="1"/>
    <col min="4" max="4" width="19" customWidth="1"/>
    <col min="5" max="5" width="11.5" customWidth="1"/>
    <col min="6" max="6" width="16.375" customWidth="1"/>
    <col min="10" max="10" width="13.375" customWidth="1"/>
  </cols>
  <sheetData>
    <row r="1" spans="1:29" ht="14.1" customHeight="1" thickBot="1" x14ac:dyDescent="0.3">
      <c r="A1" s="58" t="s">
        <v>188</v>
      </c>
      <c r="B1" s="59"/>
      <c r="C1" s="59"/>
      <c r="D1" s="59"/>
      <c r="E1" s="59"/>
      <c r="F1" s="59"/>
      <c r="G1" s="59"/>
      <c r="H1" s="59"/>
      <c r="I1" s="59"/>
      <c r="J1" s="58" t="s">
        <v>189</v>
      </c>
      <c r="K1" s="60">
        <v>3500</v>
      </c>
      <c r="L1" s="60"/>
      <c r="M1" s="61" t="s">
        <v>204</v>
      </c>
      <c r="N1" s="61" t="s">
        <v>204</v>
      </c>
      <c r="O1" s="61" t="s">
        <v>204</v>
      </c>
      <c r="P1" s="61" t="s">
        <v>204</v>
      </c>
      <c r="Q1" s="61" t="s">
        <v>204</v>
      </c>
      <c r="R1" s="62" t="s">
        <v>205</v>
      </c>
      <c r="S1" s="62" t="s">
        <v>205</v>
      </c>
      <c r="T1" s="62" t="s">
        <v>205</v>
      </c>
      <c r="U1" s="62" t="s">
        <v>205</v>
      </c>
      <c r="V1" s="63" t="s">
        <v>206</v>
      </c>
      <c r="W1" s="63" t="s">
        <v>206</v>
      </c>
      <c r="X1" s="63" t="s">
        <v>206</v>
      </c>
      <c r="Y1" s="63" t="s">
        <v>206</v>
      </c>
      <c r="Z1" s="64" t="s">
        <v>207</v>
      </c>
      <c r="AA1" s="64" t="s">
        <v>207</v>
      </c>
      <c r="AB1" s="64" t="s">
        <v>207</v>
      </c>
      <c r="AC1" s="64" t="s">
        <v>207</v>
      </c>
    </row>
    <row r="2" spans="1:29" ht="14.1" customHeight="1" thickBot="1" x14ac:dyDescent="0.4">
      <c r="A2" s="53" t="s">
        <v>136</v>
      </c>
      <c r="B2" s="53" t="s">
        <v>137</v>
      </c>
      <c r="C2" s="57" t="s">
        <v>214</v>
      </c>
      <c r="D2" s="53" t="s">
        <v>138</v>
      </c>
      <c r="E2" s="53" t="s">
        <v>139</v>
      </c>
      <c r="F2" s="53" t="s">
        <v>190</v>
      </c>
      <c r="G2" s="53" t="s">
        <v>140</v>
      </c>
      <c r="H2" s="53" t="s">
        <v>165</v>
      </c>
      <c r="I2" s="53" t="s">
        <v>166</v>
      </c>
      <c r="J2" s="53" t="s">
        <v>167</v>
      </c>
      <c r="K2" s="53" t="s">
        <v>207</v>
      </c>
      <c r="L2" s="53" t="s">
        <v>208</v>
      </c>
      <c r="M2" s="53" t="s">
        <v>209</v>
      </c>
      <c r="N2" s="53" t="s">
        <v>210</v>
      </c>
      <c r="O2" s="53" t="s">
        <v>211</v>
      </c>
      <c r="P2" s="53" t="s">
        <v>212</v>
      </c>
      <c r="Q2" s="53" t="s">
        <v>213</v>
      </c>
      <c r="R2" s="53" t="s">
        <v>209</v>
      </c>
      <c r="S2" s="53" t="s">
        <v>210</v>
      </c>
      <c r="T2" s="53" t="s">
        <v>211</v>
      </c>
      <c r="U2" s="53" t="s">
        <v>212</v>
      </c>
      <c r="V2" s="53" t="s">
        <v>209</v>
      </c>
      <c r="W2" s="53" t="s">
        <v>210</v>
      </c>
      <c r="X2" s="53" t="s">
        <v>211</v>
      </c>
      <c r="Y2" s="53" t="s">
        <v>212</v>
      </c>
      <c r="Z2" s="53" t="s">
        <v>209</v>
      </c>
      <c r="AA2" s="53" t="s">
        <v>210</v>
      </c>
      <c r="AB2" s="53" t="s">
        <v>211</v>
      </c>
      <c r="AC2" s="53" t="s">
        <v>212</v>
      </c>
    </row>
    <row r="3" spans="1:29" ht="14.1" customHeight="1" thickBot="1" x14ac:dyDescent="0.3">
      <c r="A3" s="54">
        <v>1</v>
      </c>
      <c r="B3" s="54"/>
      <c r="C3" s="121" t="s">
        <v>99</v>
      </c>
      <c r="D3" s="54" t="s">
        <v>98</v>
      </c>
      <c r="E3" s="55"/>
      <c r="F3" s="55"/>
      <c r="G3" s="55"/>
      <c r="H3" s="55"/>
      <c r="I3" s="55"/>
      <c r="J3" s="55"/>
      <c r="K3" s="55"/>
      <c r="L3" s="54">
        <v>0.9</v>
      </c>
      <c r="M3" s="54">
        <v>0</v>
      </c>
      <c r="N3" s="54">
        <v>0</v>
      </c>
      <c r="O3" s="54">
        <v>0</v>
      </c>
      <c r="P3" s="54">
        <v>0</v>
      </c>
      <c r="Q3" s="55">
        <v>3150</v>
      </c>
      <c r="R3" s="55"/>
      <c r="S3" s="55"/>
      <c r="T3" s="55"/>
      <c r="U3" s="54"/>
      <c r="V3" s="55"/>
      <c r="W3" s="55"/>
      <c r="X3" s="55"/>
      <c r="Y3" s="55"/>
      <c r="Z3" s="55"/>
      <c r="AA3" s="55"/>
      <c r="AB3" s="55"/>
      <c r="AC3" s="55"/>
    </row>
    <row r="4" spans="1:29" ht="14.1" customHeight="1" thickBot="1" x14ac:dyDescent="0.3">
      <c r="A4" s="54">
        <v>2</v>
      </c>
      <c r="B4" s="55"/>
      <c r="C4" s="122"/>
      <c r="D4" s="54" t="s">
        <v>140</v>
      </c>
      <c r="E4" s="55"/>
      <c r="F4" s="55"/>
      <c r="G4" s="54"/>
      <c r="H4" s="55"/>
      <c r="I4" s="55"/>
      <c r="J4" s="55"/>
      <c r="K4" s="55"/>
      <c r="L4" s="54">
        <v>0.8</v>
      </c>
      <c r="M4" s="54">
        <v>0</v>
      </c>
      <c r="N4" s="54">
        <v>0</v>
      </c>
      <c r="O4" s="54">
        <v>0</v>
      </c>
      <c r="P4" s="54">
        <v>0</v>
      </c>
      <c r="Q4" s="55">
        <v>2800</v>
      </c>
      <c r="R4" s="55"/>
      <c r="S4" s="55"/>
      <c r="T4" s="55"/>
      <c r="U4" s="54"/>
      <c r="V4" s="55"/>
      <c r="W4" s="55"/>
      <c r="X4" s="55"/>
      <c r="Y4" s="55"/>
      <c r="Z4" s="55"/>
      <c r="AA4" s="55"/>
      <c r="AB4" s="55"/>
      <c r="AC4" s="55"/>
    </row>
    <row r="5" spans="1:29" ht="14.1" customHeight="1" thickBot="1" x14ac:dyDescent="0.3">
      <c r="A5" s="54">
        <v>3</v>
      </c>
      <c r="B5" s="55"/>
      <c r="C5" s="122"/>
      <c r="D5" s="54" t="s">
        <v>141</v>
      </c>
      <c r="E5" s="55"/>
      <c r="F5" s="55"/>
      <c r="G5" s="54"/>
      <c r="H5" s="55"/>
      <c r="I5" s="55"/>
      <c r="J5" s="55"/>
      <c r="K5" s="55"/>
      <c r="L5" s="54">
        <v>0.7</v>
      </c>
      <c r="M5" s="54">
        <v>0</v>
      </c>
      <c r="N5" s="54">
        <v>0</v>
      </c>
      <c r="O5" s="54">
        <v>0</v>
      </c>
      <c r="P5" s="54">
        <v>0</v>
      </c>
      <c r="Q5" s="55">
        <v>2450</v>
      </c>
      <c r="R5" s="55"/>
      <c r="S5" s="55"/>
      <c r="T5" s="55"/>
      <c r="U5" s="54"/>
      <c r="V5" s="55"/>
      <c r="W5" s="55"/>
      <c r="X5" s="55"/>
      <c r="Y5" s="55"/>
      <c r="Z5" s="55"/>
      <c r="AA5" s="55"/>
      <c r="AB5" s="55"/>
      <c r="AC5" s="55"/>
    </row>
    <row r="6" spans="1:29" ht="14.1" customHeight="1" thickBot="1" x14ac:dyDescent="0.3">
      <c r="A6" s="54">
        <v>4</v>
      </c>
      <c r="B6" s="55"/>
      <c r="C6" s="122"/>
      <c r="D6" s="54" t="s">
        <v>142</v>
      </c>
      <c r="E6" s="54"/>
      <c r="F6" s="55"/>
      <c r="G6" s="54"/>
      <c r="H6" s="54"/>
      <c r="I6" s="54"/>
      <c r="J6" s="54" t="s">
        <v>168</v>
      </c>
      <c r="K6" s="55"/>
      <c r="L6" s="54">
        <v>0.6</v>
      </c>
      <c r="M6" s="54">
        <v>0</v>
      </c>
      <c r="N6" s="54">
        <v>0</v>
      </c>
      <c r="O6" s="54">
        <v>0</v>
      </c>
      <c r="P6" s="54">
        <v>0</v>
      </c>
      <c r="Q6" s="55">
        <v>2100</v>
      </c>
      <c r="R6" s="55"/>
      <c r="S6" s="55"/>
      <c r="T6" s="55"/>
      <c r="U6" s="54"/>
      <c r="V6" s="55"/>
      <c r="W6" s="55"/>
      <c r="X6" s="55"/>
      <c r="Y6" s="55"/>
      <c r="Z6" s="55"/>
      <c r="AA6" s="55"/>
      <c r="AB6" s="55"/>
      <c r="AC6" s="55"/>
    </row>
    <row r="7" spans="1:29" ht="14.1" customHeight="1" thickBot="1" x14ac:dyDescent="0.4">
      <c r="A7" s="54">
        <v>5</v>
      </c>
      <c r="B7" s="55"/>
      <c r="C7" s="122"/>
      <c r="D7" s="112" t="s">
        <v>270</v>
      </c>
      <c r="E7" s="54"/>
      <c r="F7" s="55"/>
      <c r="G7" s="54"/>
      <c r="H7" s="54">
        <v>2</v>
      </c>
      <c r="I7" s="54"/>
      <c r="J7" s="54" t="s">
        <v>169</v>
      </c>
      <c r="K7" s="55"/>
      <c r="L7" s="54">
        <v>0.55000000000000004</v>
      </c>
      <c r="M7" s="55">
        <v>0</v>
      </c>
      <c r="N7" s="55">
        <v>0</v>
      </c>
      <c r="O7" s="55">
        <v>0</v>
      </c>
      <c r="P7" s="55">
        <v>0</v>
      </c>
      <c r="Q7" s="55">
        <v>1925</v>
      </c>
      <c r="R7" s="54"/>
      <c r="S7" s="54"/>
      <c r="T7" s="54"/>
      <c r="U7" s="54"/>
      <c r="V7" s="55"/>
      <c r="W7" s="55"/>
      <c r="X7" s="55"/>
      <c r="Y7" s="55"/>
      <c r="Z7" s="55"/>
      <c r="AA7" s="55"/>
      <c r="AB7" s="55"/>
      <c r="AC7" s="55"/>
    </row>
    <row r="8" spans="1:29" ht="14.1" customHeight="1" thickBot="1" x14ac:dyDescent="0.3">
      <c r="A8" s="54">
        <v>6</v>
      </c>
      <c r="B8" s="54" t="s">
        <v>143</v>
      </c>
      <c r="C8" s="122"/>
      <c r="D8" s="54" t="s">
        <v>144</v>
      </c>
      <c r="E8" s="54">
        <v>1</v>
      </c>
      <c r="F8" s="55"/>
      <c r="G8" s="54"/>
      <c r="H8" s="54">
        <v>4</v>
      </c>
      <c r="I8" s="54"/>
      <c r="J8" s="54" t="s">
        <v>170</v>
      </c>
      <c r="K8" s="55"/>
      <c r="L8" s="54">
        <v>0.5</v>
      </c>
      <c r="M8" s="55">
        <v>0</v>
      </c>
      <c r="N8" s="55">
        <v>0</v>
      </c>
      <c r="O8" s="55">
        <v>0</v>
      </c>
      <c r="P8" s="55">
        <v>0</v>
      </c>
      <c r="Q8" s="55">
        <v>1750</v>
      </c>
      <c r="R8" s="54"/>
      <c r="S8" s="54"/>
      <c r="T8" s="54"/>
      <c r="U8" s="54"/>
      <c r="V8" s="55"/>
      <c r="W8" s="55"/>
      <c r="X8" s="55"/>
      <c r="Y8" s="55"/>
      <c r="Z8" s="55"/>
      <c r="AA8" s="55"/>
      <c r="AB8" s="55"/>
      <c r="AC8" s="55"/>
    </row>
    <row r="9" spans="1:29" ht="14.1" customHeight="1" thickBot="1" x14ac:dyDescent="0.3">
      <c r="A9" s="54">
        <v>7</v>
      </c>
      <c r="B9" s="55"/>
      <c r="C9" s="122"/>
      <c r="D9" s="54" t="s">
        <v>145</v>
      </c>
      <c r="E9" s="54" t="s">
        <v>146</v>
      </c>
      <c r="F9" s="55"/>
      <c r="G9" s="54"/>
      <c r="H9" s="54">
        <v>6</v>
      </c>
      <c r="I9" s="54"/>
      <c r="J9" s="54" t="s">
        <v>171</v>
      </c>
      <c r="K9" s="55"/>
      <c r="L9" s="54">
        <v>0.45</v>
      </c>
      <c r="M9" s="55">
        <v>0</v>
      </c>
      <c r="N9" s="55">
        <v>0</v>
      </c>
      <c r="O9" s="55">
        <v>0</v>
      </c>
      <c r="P9" s="55">
        <v>0</v>
      </c>
      <c r="Q9" s="55">
        <v>1575</v>
      </c>
      <c r="R9" s="54"/>
      <c r="S9" s="54"/>
      <c r="T9" s="54"/>
      <c r="U9" s="54"/>
      <c r="V9" s="55"/>
      <c r="W9" s="55"/>
      <c r="X9" s="55"/>
      <c r="Y9" s="55"/>
      <c r="Z9" s="55"/>
      <c r="AA9" s="55"/>
      <c r="AB9" s="55"/>
      <c r="AC9" s="55"/>
    </row>
    <row r="10" spans="1:29" ht="14.1" customHeight="1" thickBot="1" x14ac:dyDescent="0.3">
      <c r="A10" s="54">
        <v>8</v>
      </c>
      <c r="B10" s="54" t="s">
        <v>147</v>
      </c>
      <c r="C10" s="122"/>
      <c r="D10" s="54" t="s">
        <v>148</v>
      </c>
      <c r="E10" s="54">
        <v>4</v>
      </c>
      <c r="F10" s="54" t="s">
        <v>191</v>
      </c>
      <c r="G10" s="56"/>
      <c r="H10" s="54">
        <v>7</v>
      </c>
      <c r="I10" s="54"/>
      <c r="J10" s="54" t="s">
        <v>172</v>
      </c>
      <c r="K10" s="55"/>
      <c r="L10" s="54">
        <v>0.4</v>
      </c>
      <c r="M10" s="55">
        <v>0</v>
      </c>
      <c r="N10" s="55">
        <v>0</v>
      </c>
      <c r="O10" s="55">
        <v>0</v>
      </c>
      <c r="P10" s="55">
        <v>0</v>
      </c>
      <c r="Q10" s="55">
        <v>1400</v>
      </c>
      <c r="R10" s="54"/>
      <c r="S10" s="54"/>
      <c r="T10" s="54"/>
      <c r="U10" s="54"/>
      <c r="V10" s="55"/>
      <c r="W10" s="55"/>
      <c r="X10" s="55"/>
      <c r="Y10" s="55"/>
      <c r="Z10" s="55"/>
      <c r="AA10" s="55"/>
      <c r="AB10" s="55"/>
      <c r="AC10" s="55"/>
    </row>
    <row r="11" spans="1:29" ht="14.1" customHeight="1" thickBot="1" x14ac:dyDescent="0.3">
      <c r="A11" s="54">
        <v>9</v>
      </c>
      <c r="B11" s="55"/>
      <c r="C11" s="122"/>
      <c r="D11" s="54"/>
      <c r="E11" s="54">
        <v>4</v>
      </c>
      <c r="F11" s="54" t="s">
        <v>192</v>
      </c>
      <c r="G11" s="54"/>
      <c r="H11" s="54">
        <v>8</v>
      </c>
      <c r="I11" s="54"/>
      <c r="J11" s="54" t="s">
        <v>173</v>
      </c>
      <c r="K11" s="55"/>
      <c r="L11" s="54">
        <v>0.35</v>
      </c>
      <c r="M11" s="55">
        <v>0</v>
      </c>
      <c r="N11" s="55">
        <v>0</v>
      </c>
      <c r="O11" s="55">
        <v>0</v>
      </c>
      <c r="P11" s="55">
        <v>0</v>
      </c>
      <c r="Q11" s="55">
        <v>1225</v>
      </c>
      <c r="R11" s="54"/>
      <c r="S11" s="54"/>
      <c r="T11" s="54"/>
      <c r="U11" s="54"/>
      <c r="V11" s="55"/>
      <c r="W11" s="55"/>
      <c r="X11" s="55"/>
      <c r="Y11" s="55"/>
      <c r="Z11" s="55"/>
      <c r="AA11" s="55"/>
      <c r="AB11" s="55"/>
      <c r="AC11" s="55"/>
    </row>
    <row r="12" spans="1:29" ht="14.1" customHeight="1" thickBot="1" x14ac:dyDescent="0.3">
      <c r="A12" s="54" t="s">
        <v>149</v>
      </c>
      <c r="B12" s="54">
        <v>1</v>
      </c>
      <c r="C12" s="122"/>
      <c r="D12" s="55"/>
      <c r="E12" s="54" t="s">
        <v>150</v>
      </c>
      <c r="F12" s="54" t="s">
        <v>193</v>
      </c>
      <c r="G12" s="54" t="s">
        <v>174</v>
      </c>
      <c r="H12" s="54">
        <v>9</v>
      </c>
      <c r="I12" s="54"/>
      <c r="J12" s="54"/>
      <c r="K12" s="65">
        <v>0.16</v>
      </c>
      <c r="L12" s="54">
        <v>0.3</v>
      </c>
      <c r="M12" s="55">
        <v>1</v>
      </c>
      <c r="N12" s="55">
        <v>6</v>
      </c>
      <c r="O12" s="55">
        <v>63</v>
      </c>
      <c r="P12" s="55">
        <v>252</v>
      </c>
      <c r="Q12" s="55">
        <v>728</v>
      </c>
      <c r="R12" s="66">
        <v>5.0000000000000001E-4</v>
      </c>
      <c r="S12" s="66">
        <v>5.0000000000000001E-3</v>
      </c>
      <c r="T12" s="66">
        <v>0.06</v>
      </c>
      <c r="U12" s="66">
        <v>0.24</v>
      </c>
      <c r="V12" s="54">
        <v>60</v>
      </c>
      <c r="W12" s="54">
        <v>60</v>
      </c>
      <c r="X12" s="54">
        <v>189</v>
      </c>
      <c r="Y12" s="54">
        <v>252</v>
      </c>
      <c r="Z12" s="54">
        <v>60</v>
      </c>
      <c r="AA12" s="54">
        <v>10</v>
      </c>
      <c r="AB12" s="54">
        <v>3</v>
      </c>
      <c r="AC12" s="54">
        <v>1</v>
      </c>
    </row>
    <row r="13" spans="1:29" ht="14.1" customHeight="1" thickBot="1" x14ac:dyDescent="0.3">
      <c r="A13" s="54">
        <v>11</v>
      </c>
      <c r="B13" s="54">
        <v>1.3</v>
      </c>
      <c r="C13" s="122"/>
      <c r="D13" s="54" t="s">
        <v>151</v>
      </c>
      <c r="E13" s="54">
        <v>5</v>
      </c>
      <c r="F13" s="54" t="s">
        <v>194</v>
      </c>
      <c r="G13" s="54"/>
      <c r="H13" s="54">
        <v>10</v>
      </c>
      <c r="I13" s="54" t="s">
        <v>175</v>
      </c>
      <c r="J13" s="54" t="s">
        <v>176</v>
      </c>
      <c r="K13" s="67">
        <v>0.20899999999999999</v>
      </c>
      <c r="L13" s="54">
        <v>0.28000000000000003</v>
      </c>
      <c r="M13" s="55">
        <v>1</v>
      </c>
      <c r="N13" s="55">
        <v>6</v>
      </c>
      <c r="O13" s="55">
        <v>61</v>
      </c>
      <c r="P13" s="55">
        <v>245</v>
      </c>
      <c r="Q13" s="55">
        <v>667</v>
      </c>
      <c r="R13" s="66">
        <v>5.9999999999999995E-4</v>
      </c>
      <c r="S13" s="66">
        <v>6.0000000000000001E-3</v>
      </c>
      <c r="T13" s="66">
        <v>6.2E-2</v>
      </c>
      <c r="U13" s="66">
        <v>0.25</v>
      </c>
      <c r="V13" s="54">
        <v>80</v>
      </c>
      <c r="W13" s="54">
        <v>90</v>
      </c>
      <c r="X13" s="54">
        <v>244</v>
      </c>
      <c r="Y13" s="54">
        <v>318.5</v>
      </c>
      <c r="Z13" s="54">
        <v>80</v>
      </c>
      <c r="AA13" s="54">
        <v>15</v>
      </c>
      <c r="AB13" s="54">
        <v>4</v>
      </c>
      <c r="AC13" s="54">
        <v>1.3</v>
      </c>
    </row>
    <row r="14" spans="1:29" ht="14.1" customHeight="1" thickBot="1" x14ac:dyDescent="0.3">
      <c r="A14" s="54">
        <v>12</v>
      </c>
      <c r="B14" s="54">
        <v>1.6</v>
      </c>
      <c r="C14" s="123"/>
      <c r="D14" s="55"/>
      <c r="E14" s="54" t="s">
        <v>152</v>
      </c>
      <c r="F14" s="54" t="s">
        <v>195</v>
      </c>
      <c r="G14" s="54"/>
      <c r="H14" s="54">
        <v>12</v>
      </c>
      <c r="I14" s="54" t="s">
        <v>177</v>
      </c>
      <c r="J14" s="54" t="s">
        <v>178</v>
      </c>
      <c r="K14" s="68">
        <v>0.26100000000000001</v>
      </c>
      <c r="L14" s="54">
        <v>0.26</v>
      </c>
      <c r="M14" s="55">
        <v>1</v>
      </c>
      <c r="N14" s="55">
        <v>6</v>
      </c>
      <c r="O14" s="55">
        <v>59</v>
      </c>
      <c r="P14" s="55">
        <v>237</v>
      </c>
      <c r="Q14" s="55">
        <v>607</v>
      </c>
      <c r="R14" s="66">
        <v>6.9999999999999999E-4</v>
      </c>
      <c r="S14" s="66">
        <v>6.4999999999999997E-3</v>
      </c>
      <c r="T14" s="66">
        <v>6.4000000000000001E-2</v>
      </c>
      <c r="U14" s="66">
        <v>0.26</v>
      </c>
      <c r="V14" s="54">
        <v>120</v>
      </c>
      <c r="W14" s="54">
        <v>120</v>
      </c>
      <c r="X14" s="54">
        <v>295</v>
      </c>
      <c r="Y14" s="54">
        <v>379.2</v>
      </c>
      <c r="Z14" s="54">
        <v>120</v>
      </c>
      <c r="AA14" s="54">
        <v>20</v>
      </c>
      <c r="AB14" s="54">
        <v>5</v>
      </c>
      <c r="AC14" s="54">
        <v>1.6</v>
      </c>
    </row>
    <row r="15" spans="1:29" ht="14.1" customHeight="1" thickBot="1" x14ac:dyDescent="0.3">
      <c r="A15" s="54" t="s">
        <v>153</v>
      </c>
      <c r="B15" s="54">
        <v>2</v>
      </c>
      <c r="C15" s="121" t="s">
        <v>14</v>
      </c>
      <c r="D15" s="54" t="s">
        <v>123</v>
      </c>
      <c r="E15" s="54" t="s">
        <v>154</v>
      </c>
      <c r="F15" s="54" t="s">
        <v>196</v>
      </c>
      <c r="G15" s="54" t="s">
        <v>179</v>
      </c>
      <c r="H15" s="54">
        <v>14</v>
      </c>
      <c r="I15" s="54" t="s">
        <v>180</v>
      </c>
      <c r="J15" s="55"/>
      <c r="K15" s="69">
        <v>0.30499999999999999</v>
      </c>
      <c r="L15" s="54">
        <v>0.24</v>
      </c>
      <c r="M15" s="55">
        <v>1</v>
      </c>
      <c r="N15" s="55">
        <v>6</v>
      </c>
      <c r="O15" s="55">
        <v>56</v>
      </c>
      <c r="P15" s="55">
        <v>227</v>
      </c>
      <c r="Q15" s="55">
        <v>550</v>
      </c>
      <c r="R15" s="66">
        <v>8.0000000000000004E-4</v>
      </c>
      <c r="S15" s="66">
        <v>7.0000000000000001E-3</v>
      </c>
      <c r="T15" s="66">
        <v>6.6000000000000003E-2</v>
      </c>
      <c r="U15" s="66">
        <v>0.27</v>
      </c>
      <c r="V15" s="54">
        <v>150</v>
      </c>
      <c r="W15" s="54">
        <v>150</v>
      </c>
      <c r="X15" s="54">
        <v>336</v>
      </c>
      <c r="Y15" s="54">
        <v>431.3</v>
      </c>
      <c r="Z15" s="54">
        <v>150</v>
      </c>
      <c r="AA15" s="54">
        <v>25</v>
      </c>
      <c r="AB15" s="54">
        <v>6</v>
      </c>
      <c r="AC15" s="54">
        <v>1.9</v>
      </c>
    </row>
    <row r="16" spans="1:29" ht="14.1" customHeight="1" thickBot="1" x14ac:dyDescent="0.3">
      <c r="A16" s="54">
        <v>14</v>
      </c>
      <c r="B16" s="54">
        <v>2.2999999999999998</v>
      </c>
      <c r="C16" s="122"/>
      <c r="D16" s="54"/>
      <c r="E16" s="54">
        <v>7</v>
      </c>
      <c r="F16" s="54" t="s">
        <v>197</v>
      </c>
      <c r="G16" s="54"/>
      <c r="H16" s="54">
        <v>16</v>
      </c>
      <c r="I16" s="54" t="s">
        <v>181</v>
      </c>
      <c r="J16" s="54"/>
      <c r="K16" s="70">
        <v>0.34499999999999997</v>
      </c>
      <c r="L16" s="54">
        <v>0.22</v>
      </c>
      <c r="M16" s="55">
        <v>1</v>
      </c>
      <c r="N16" s="55">
        <v>6</v>
      </c>
      <c r="O16" s="55">
        <v>53</v>
      </c>
      <c r="P16" s="55">
        <v>216</v>
      </c>
      <c r="Q16" s="55">
        <v>494</v>
      </c>
      <c r="R16" s="66">
        <v>8.9999999999999998E-4</v>
      </c>
      <c r="S16" s="66">
        <v>7.4999999999999997E-3</v>
      </c>
      <c r="T16" s="66">
        <v>6.8000000000000005E-2</v>
      </c>
      <c r="U16" s="66">
        <v>0.28000000000000003</v>
      </c>
      <c r="V16" s="54">
        <v>180</v>
      </c>
      <c r="W16" s="54">
        <v>180</v>
      </c>
      <c r="X16" s="54">
        <v>371</v>
      </c>
      <c r="Y16" s="54">
        <v>475.2</v>
      </c>
      <c r="Z16" s="54">
        <v>180</v>
      </c>
      <c r="AA16" s="54">
        <v>30</v>
      </c>
      <c r="AB16" s="54">
        <v>7</v>
      </c>
      <c r="AC16" s="54">
        <v>2.2000000000000002</v>
      </c>
    </row>
    <row r="17" spans="1:29" ht="14.1" customHeight="1" thickBot="1" x14ac:dyDescent="0.3">
      <c r="A17" s="54" t="s">
        <v>155</v>
      </c>
      <c r="B17" s="54">
        <v>2.6</v>
      </c>
      <c r="C17" s="122"/>
      <c r="D17" s="54" t="s">
        <v>156</v>
      </c>
      <c r="E17" s="54" t="s">
        <v>157</v>
      </c>
      <c r="F17" s="54" t="s">
        <v>198</v>
      </c>
      <c r="G17" s="55"/>
      <c r="H17" s="54">
        <v>18</v>
      </c>
      <c r="I17" s="54" t="s">
        <v>182</v>
      </c>
      <c r="J17" s="55"/>
      <c r="K17" s="71">
        <v>0.374</v>
      </c>
      <c r="L17" s="54">
        <v>0.2</v>
      </c>
      <c r="M17" s="55">
        <v>1</v>
      </c>
      <c r="N17" s="55">
        <v>6</v>
      </c>
      <c r="O17" s="55">
        <v>49</v>
      </c>
      <c r="P17" s="55">
        <v>203</v>
      </c>
      <c r="Q17" s="55">
        <v>441</v>
      </c>
      <c r="R17" s="66">
        <v>1E-3</v>
      </c>
      <c r="S17" s="66">
        <v>8.0000000000000002E-3</v>
      </c>
      <c r="T17" s="66">
        <v>7.0000000000000007E-2</v>
      </c>
      <c r="U17" s="66">
        <v>0.28999999999999998</v>
      </c>
      <c r="V17" s="54">
        <v>200</v>
      </c>
      <c r="W17" s="54">
        <v>210</v>
      </c>
      <c r="X17" s="54">
        <v>392</v>
      </c>
      <c r="Y17" s="54">
        <v>507.5</v>
      </c>
      <c r="Z17" s="54">
        <v>200</v>
      </c>
      <c r="AA17" s="54">
        <v>35</v>
      </c>
      <c r="AB17" s="54">
        <v>8</v>
      </c>
      <c r="AC17" s="54">
        <v>2.5</v>
      </c>
    </row>
    <row r="18" spans="1:29" ht="14.1" customHeight="1" thickBot="1" x14ac:dyDescent="0.3">
      <c r="A18" s="54">
        <v>16</v>
      </c>
      <c r="B18" s="54">
        <v>3</v>
      </c>
      <c r="C18" s="122"/>
      <c r="D18" s="54"/>
      <c r="E18" s="54" t="s">
        <v>158</v>
      </c>
      <c r="F18" s="54" t="s">
        <v>199</v>
      </c>
      <c r="G18" s="54" t="s">
        <v>179</v>
      </c>
      <c r="H18" s="54">
        <v>20</v>
      </c>
      <c r="I18" s="54"/>
      <c r="J18" s="54" t="s">
        <v>183</v>
      </c>
      <c r="K18" s="72">
        <v>0.441</v>
      </c>
      <c r="L18" s="54">
        <v>0.18</v>
      </c>
      <c r="M18" s="55">
        <v>1</v>
      </c>
      <c r="N18" s="55">
        <v>6</v>
      </c>
      <c r="O18" s="55">
        <v>46</v>
      </c>
      <c r="P18" s="55">
        <v>189</v>
      </c>
      <c r="Q18" s="55">
        <v>388</v>
      </c>
      <c r="R18" s="66">
        <v>1.1000000000000001E-3</v>
      </c>
      <c r="S18" s="66">
        <v>8.5000000000000006E-3</v>
      </c>
      <c r="T18" s="66">
        <v>7.1999999999999995E-2</v>
      </c>
      <c r="U18" s="66">
        <v>0.3</v>
      </c>
      <c r="V18" s="54">
        <v>300</v>
      </c>
      <c r="W18" s="54">
        <v>300</v>
      </c>
      <c r="X18" s="54">
        <v>414</v>
      </c>
      <c r="Y18" s="54">
        <v>529.20000000000005</v>
      </c>
      <c r="Z18" s="54">
        <v>300</v>
      </c>
      <c r="AA18" s="54">
        <v>50</v>
      </c>
      <c r="AB18" s="54">
        <v>9</v>
      </c>
      <c r="AC18" s="54">
        <v>2.8</v>
      </c>
    </row>
    <row r="19" spans="1:29" ht="14.1" customHeight="1" thickBot="1" x14ac:dyDescent="0.3">
      <c r="A19" s="54" t="s">
        <v>159</v>
      </c>
      <c r="B19" s="54">
        <v>4</v>
      </c>
      <c r="C19" s="123"/>
      <c r="D19" s="54"/>
      <c r="E19" s="54" t="s">
        <v>160</v>
      </c>
      <c r="F19" s="54" t="s">
        <v>200</v>
      </c>
      <c r="G19" s="54" t="s">
        <v>179</v>
      </c>
      <c r="H19" s="54">
        <v>22</v>
      </c>
      <c r="I19" s="54"/>
      <c r="J19" s="54" t="s">
        <v>184</v>
      </c>
      <c r="K19" s="73">
        <v>0.52300000000000002</v>
      </c>
      <c r="L19" s="54">
        <v>0.16</v>
      </c>
      <c r="M19" s="55">
        <v>1</v>
      </c>
      <c r="N19" s="55">
        <v>6</v>
      </c>
      <c r="O19" s="55">
        <v>42</v>
      </c>
      <c r="P19" s="55">
        <v>174</v>
      </c>
      <c r="Q19" s="55">
        <v>337</v>
      </c>
      <c r="R19" s="66">
        <v>1.1999999999999999E-3</v>
      </c>
      <c r="S19" s="66">
        <v>8.9999999999999993E-3</v>
      </c>
      <c r="T19" s="66">
        <v>7.3999999999999996E-2</v>
      </c>
      <c r="U19" s="66">
        <v>0.31</v>
      </c>
      <c r="V19" s="54">
        <v>450</v>
      </c>
      <c r="W19" s="54">
        <v>420</v>
      </c>
      <c r="X19" s="54">
        <v>420</v>
      </c>
      <c r="Y19" s="54">
        <v>539.4</v>
      </c>
      <c r="Z19" s="54">
        <v>450</v>
      </c>
      <c r="AA19" s="54">
        <v>70</v>
      </c>
      <c r="AB19" s="54">
        <v>10</v>
      </c>
      <c r="AC19" s="54">
        <v>3.1</v>
      </c>
    </row>
    <row r="20" spans="1:29" ht="14.1" customHeight="1" thickBot="1" x14ac:dyDescent="0.3">
      <c r="A20" s="54">
        <v>18</v>
      </c>
      <c r="B20" s="54">
        <v>5</v>
      </c>
      <c r="C20" s="121" t="s">
        <v>269</v>
      </c>
      <c r="D20" s="54"/>
      <c r="E20" s="54" t="s">
        <v>161</v>
      </c>
      <c r="F20" s="54" t="s">
        <v>201</v>
      </c>
      <c r="G20" s="54" t="s">
        <v>179</v>
      </c>
      <c r="H20" s="54">
        <v>24</v>
      </c>
      <c r="I20" s="54"/>
      <c r="J20" s="54" t="s">
        <v>185</v>
      </c>
      <c r="K20" s="74">
        <v>0.59799999999999998</v>
      </c>
      <c r="L20" s="54">
        <v>0.14000000000000001</v>
      </c>
      <c r="M20" s="55">
        <v>1</v>
      </c>
      <c r="N20" s="55">
        <v>6</v>
      </c>
      <c r="O20" s="55">
        <v>38</v>
      </c>
      <c r="P20" s="55">
        <v>157</v>
      </c>
      <c r="Q20" s="55">
        <v>288</v>
      </c>
      <c r="R20" s="66">
        <v>1.2999999999999999E-3</v>
      </c>
      <c r="S20" s="66">
        <v>1.2E-2</v>
      </c>
      <c r="T20" s="66">
        <v>7.5999999999999998E-2</v>
      </c>
      <c r="U20" s="66">
        <v>0.32</v>
      </c>
      <c r="V20" s="54">
        <v>600</v>
      </c>
      <c r="W20" s="54">
        <v>540</v>
      </c>
      <c r="X20" s="54">
        <v>418</v>
      </c>
      <c r="Y20" s="54">
        <v>533.79999999999995</v>
      </c>
      <c r="Z20" s="54">
        <v>600</v>
      </c>
      <c r="AA20" s="54">
        <v>90</v>
      </c>
      <c r="AB20" s="54">
        <v>11</v>
      </c>
      <c r="AC20" s="54">
        <v>3.4</v>
      </c>
    </row>
    <row r="21" spans="1:29" ht="14.1" customHeight="1" thickBot="1" x14ac:dyDescent="0.3">
      <c r="A21" s="54" t="s">
        <v>162</v>
      </c>
      <c r="B21" s="54">
        <v>6</v>
      </c>
      <c r="C21" s="122"/>
      <c r="D21" s="54"/>
      <c r="E21" s="54" t="s">
        <v>163</v>
      </c>
      <c r="F21" s="54" t="s">
        <v>202</v>
      </c>
      <c r="G21" s="54" t="s">
        <v>186</v>
      </c>
      <c r="H21" s="54">
        <v>26</v>
      </c>
      <c r="I21" s="54"/>
      <c r="J21" s="54" t="s">
        <v>187</v>
      </c>
      <c r="K21" s="75">
        <v>0.68899999999999995</v>
      </c>
      <c r="L21" s="54">
        <v>0.12</v>
      </c>
      <c r="M21" s="55">
        <v>1</v>
      </c>
      <c r="N21" s="55">
        <v>6</v>
      </c>
      <c r="O21" s="55">
        <v>33</v>
      </c>
      <c r="P21" s="55">
        <v>139</v>
      </c>
      <c r="Q21" s="55">
        <v>241</v>
      </c>
      <c r="R21" s="66">
        <v>1.4E-3</v>
      </c>
      <c r="S21" s="66">
        <v>1.4E-2</v>
      </c>
      <c r="T21" s="66">
        <v>7.8E-2</v>
      </c>
      <c r="U21" s="66">
        <v>0.33</v>
      </c>
      <c r="V21" s="54">
        <v>840</v>
      </c>
      <c r="W21" s="54">
        <v>660</v>
      </c>
      <c r="X21" s="54">
        <v>396</v>
      </c>
      <c r="Y21" s="54">
        <v>514.29999999999995</v>
      </c>
      <c r="Z21" s="54">
        <v>840</v>
      </c>
      <c r="AA21" s="54">
        <v>110</v>
      </c>
      <c r="AB21" s="54">
        <v>12</v>
      </c>
      <c r="AC21" s="54">
        <v>3.7</v>
      </c>
    </row>
    <row r="22" spans="1:29" ht="14.1" customHeight="1" thickBot="1" x14ac:dyDescent="0.3">
      <c r="A22" s="54">
        <v>20</v>
      </c>
      <c r="B22" s="54">
        <v>8</v>
      </c>
      <c r="C22" s="123"/>
      <c r="D22" s="54"/>
      <c r="E22" s="54" t="s">
        <v>164</v>
      </c>
      <c r="F22" s="54" t="s">
        <v>203</v>
      </c>
      <c r="G22" s="54" t="s">
        <v>186</v>
      </c>
      <c r="H22" s="54">
        <v>28</v>
      </c>
      <c r="I22" s="54"/>
      <c r="J22" s="54"/>
      <c r="K22" s="76">
        <v>0.749</v>
      </c>
      <c r="L22" s="54">
        <v>0.1</v>
      </c>
      <c r="M22" s="55">
        <v>1</v>
      </c>
      <c r="N22" s="55">
        <v>6</v>
      </c>
      <c r="O22" s="55">
        <v>28</v>
      </c>
      <c r="P22" s="55">
        <v>119</v>
      </c>
      <c r="Q22" s="55">
        <v>196</v>
      </c>
      <c r="R22" s="66">
        <v>1.5E-3</v>
      </c>
      <c r="S22" s="66">
        <v>1.4999999999999999E-2</v>
      </c>
      <c r="T22" s="66">
        <v>0.08</v>
      </c>
      <c r="U22" s="66">
        <v>0.34</v>
      </c>
      <c r="V22" s="54">
        <v>1000</v>
      </c>
      <c r="W22" s="54">
        <v>780</v>
      </c>
      <c r="X22" s="54">
        <v>364</v>
      </c>
      <c r="Y22" s="54">
        <v>476</v>
      </c>
      <c r="Z22" s="54">
        <v>1000</v>
      </c>
      <c r="AA22" s="54">
        <v>130</v>
      </c>
      <c r="AB22" s="54">
        <v>13</v>
      </c>
      <c r="AC22" s="54">
        <v>4</v>
      </c>
    </row>
  </sheetData>
  <mergeCells count="3">
    <mergeCell ref="C15:C19"/>
    <mergeCell ref="C20:C22"/>
    <mergeCell ref="C3:C1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99A4-C023-4242-A11F-A71DA4453C70}">
  <sheetPr>
    <tabColor theme="4" tint="-0.249977111117893"/>
  </sheetPr>
  <dimension ref="A1:U42"/>
  <sheetViews>
    <sheetView workbookViewId="0">
      <selection activeCell="K21" sqref="K21"/>
    </sheetView>
  </sheetViews>
  <sheetFormatPr defaultRowHeight="14.25" x14ac:dyDescent="0.2"/>
  <cols>
    <col min="7" max="7" width="11.75" customWidth="1"/>
    <col min="8" max="8" width="10.25" customWidth="1"/>
    <col min="14" max="14" width="12.125" customWidth="1"/>
    <col min="15" max="15" width="11.875" customWidth="1"/>
    <col min="21" max="21" width="12" customWidth="1"/>
  </cols>
  <sheetData>
    <row r="1" spans="1:21" x14ac:dyDescent="0.2">
      <c r="A1" s="31" t="s">
        <v>52</v>
      </c>
      <c r="B1" s="32"/>
      <c r="C1" s="32"/>
      <c r="D1" s="32"/>
      <c r="E1" s="32"/>
      <c r="F1" s="32"/>
      <c r="G1" s="32"/>
      <c r="H1" s="160" t="s">
        <v>51</v>
      </c>
      <c r="I1" s="160"/>
      <c r="J1" s="160"/>
      <c r="K1" s="160"/>
      <c r="L1" s="160"/>
      <c r="M1" s="160"/>
      <c r="N1" s="160"/>
      <c r="O1" s="162" t="s">
        <v>53</v>
      </c>
      <c r="P1" s="162"/>
      <c r="Q1" s="162"/>
      <c r="R1" s="162"/>
      <c r="S1" s="162"/>
      <c r="T1" s="162"/>
      <c r="U1" s="162"/>
    </row>
    <row r="2" spans="1:21" x14ac:dyDescent="0.2">
      <c r="A2" s="5" t="s">
        <v>57</v>
      </c>
      <c r="B2" s="5" t="s">
        <v>88</v>
      </c>
      <c r="C2" s="5" t="s">
        <v>4</v>
      </c>
      <c r="D2" s="5" t="s">
        <v>20</v>
      </c>
      <c r="E2" s="5" t="s">
        <v>6</v>
      </c>
      <c r="F2" s="5" t="s">
        <v>7</v>
      </c>
      <c r="G2" s="5" t="s">
        <v>50</v>
      </c>
      <c r="H2" s="5" t="s">
        <v>88</v>
      </c>
      <c r="I2" s="5" t="s">
        <v>37</v>
      </c>
      <c r="J2" s="5" t="s">
        <v>4</v>
      </c>
      <c r="K2" s="5" t="s">
        <v>20</v>
      </c>
      <c r="L2" s="5" t="s">
        <v>6</v>
      </c>
      <c r="M2" s="5" t="s">
        <v>7</v>
      </c>
      <c r="N2" s="5" t="s">
        <v>50</v>
      </c>
      <c r="O2" s="5" t="s">
        <v>88</v>
      </c>
      <c r="P2" s="5" t="s">
        <v>37</v>
      </c>
      <c r="Q2" s="5" t="s">
        <v>4</v>
      </c>
      <c r="R2" s="5" t="s">
        <v>20</v>
      </c>
      <c r="S2" s="5" t="s">
        <v>6</v>
      </c>
      <c r="T2" s="5" t="s">
        <v>7</v>
      </c>
      <c r="U2" s="5" t="s">
        <v>50</v>
      </c>
    </row>
    <row r="3" spans="1:21" x14ac:dyDescent="0.2">
      <c r="A3" s="2">
        <v>1</v>
      </c>
      <c r="B3" s="4">
        <f>C3*战力关系!$B$5+D3*战力关系!$B$6+E3*战力关系!$B$7+F3*战力关系!$B$8</f>
        <v>228.75</v>
      </c>
      <c r="C3" s="6">
        <v>15</v>
      </c>
      <c r="D3" s="2">
        <f>C3</f>
        <v>15</v>
      </c>
      <c r="E3" s="2">
        <f>C3*0.006</f>
        <v>0.09</v>
      </c>
      <c r="F3" s="17">
        <f>C3*0.0045</f>
        <v>6.7499999999999991E-2</v>
      </c>
      <c r="G3" s="6">
        <v>0.05</v>
      </c>
      <c r="H3" s="4">
        <f>J3*战力关系!$B$5+K3*战力关系!$B$6+L3*战力关系!$B$7+M3*战力关系!$B$8</f>
        <v>285.9375</v>
      </c>
      <c r="I3" s="11">
        <v>1.25</v>
      </c>
      <c r="J3" s="4">
        <f>C3*$I3</f>
        <v>18.75</v>
      </c>
      <c r="K3" s="4">
        <f>D3*$I3</f>
        <v>18.75</v>
      </c>
      <c r="L3" s="17">
        <f>E3*$I3</f>
        <v>0.11249999999999999</v>
      </c>
      <c r="M3" s="17">
        <f>F3*$I3</f>
        <v>8.4374999999999992E-2</v>
      </c>
      <c r="N3" s="2">
        <f>G3</f>
        <v>0.05</v>
      </c>
      <c r="O3" s="2">
        <f>Q3*战力关系!$B$5+R3*战力关系!$B$6+S3*战力关系!$B$7+T3*战力关系!$B$8</f>
        <v>366</v>
      </c>
      <c r="P3" s="7">
        <v>1.6</v>
      </c>
      <c r="Q3" s="4">
        <f>C3*$P3</f>
        <v>24</v>
      </c>
      <c r="R3" s="4">
        <f>D3*$P3</f>
        <v>24</v>
      </c>
      <c r="S3" s="17">
        <f>E3*$P3</f>
        <v>0.14399999999999999</v>
      </c>
      <c r="T3" s="17">
        <f>F3*$P3</f>
        <v>0.10799999999999998</v>
      </c>
      <c r="U3" s="2">
        <f>G3</f>
        <v>0.05</v>
      </c>
    </row>
    <row r="4" spans="1:21" x14ac:dyDescent="0.2">
      <c r="A4" s="2">
        <v>2</v>
      </c>
      <c r="B4" s="4">
        <f>C4*战力关系!$B$5+D4*战力关系!$B$6+E4*战力关系!$B$7+F4*战力关系!$B$8</f>
        <v>457.5</v>
      </c>
      <c r="C4" s="6">
        <v>30</v>
      </c>
      <c r="D4" s="2">
        <f t="shared" ref="D4:D8" si="0">C4</f>
        <v>30</v>
      </c>
      <c r="E4" s="2">
        <f t="shared" ref="E4:E8" si="1">C4*0.006</f>
        <v>0.18</v>
      </c>
      <c r="F4" s="17">
        <f t="shared" ref="F4:F8" si="2">C4*0.0045</f>
        <v>0.13499999999999998</v>
      </c>
      <c r="G4" s="6">
        <v>0.1</v>
      </c>
      <c r="H4" s="4">
        <f>J4*战力关系!$B$5+K4*战力关系!$B$6+L4*战力关系!$B$7+M4*战力关系!$B$8</f>
        <v>571.875</v>
      </c>
      <c r="I4" s="11">
        <v>1.25</v>
      </c>
      <c r="J4" s="4">
        <f t="shared" ref="J4:J8" si="3">C4*$I4</f>
        <v>37.5</v>
      </c>
      <c r="K4" s="4">
        <f t="shared" ref="K4:K8" si="4">D4*$I4</f>
        <v>37.5</v>
      </c>
      <c r="L4" s="17">
        <f t="shared" ref="L4:L8" si="5">E4*$I4</f>
        <v>0.22499999999999998</v>
      </c>
      <c r="M4" s="17">
        <f t="shared" ref="M4:M8" si="6">F4*$I4</f>
        <v>0.16874999999999998</v>
      </c>
      <c r="N4" s="2">
        <f t="shared" ref="N4:N8" si="7">G4</f>
        <v>0.1</v>
      </c>
      <c r="O4" s="2">
        <f>Q4*战力关系!$B$5+R4*战力关系!$B$6+S4*战力关系!$B$7+T4*战力关系!$B$8</f>
        <v>732</v>
      </c>
      <c r="P4" s="7">
        <v>1.6</v>
      </c>
      <c r="Q4" s="4">
        <f t="shared" ref="Q4:Q8" si="8">C4*$P4</f>
        <v>48</v>
      </c>
      <c r="R4" s="4">
        <f t="shared" ref="R4:R8" si="9">D4*$P4</f>
        <v>48</v>
      </c>
      <c r="S4" s="17">
        <f t="shared" ref="S4:S8" si="10">E4*$P4</f>
        <v>0.28799999999999998</v>
      </c>
      <c r="T4" s="17">
        <f t="shared" ref="T4:T8" si="11">F4*$P4</f>
        <v>0.21599999999999997</v>
      </c>
      <c r="U4" s="2">
        <f t="shared" ref="U4:U8" si="12">G4</f>
        <v>0.1</v>
      </c>
    </row>
    <row r="5" spans="1:21" x14ac:dyDescent="0.2">
      <c r="A5" s="2">
        <v>3</v>
      </c>
      <c r="B5" s="4">
        <f>C5*战力关系!$B$5+D5*战力关系!$B$6+E5*战力关系!$B$7+F5*战力关系!$B$8</f>
        <v>686.25</v>
      </c>
      <c r="C5" s="6">
        <v>45</v>
      </c>
      <c r="D5" s="2">
        <f t="shared" si="0"/>
        <v>45</v>
      </c>
      <c r="E5" s="2">
        <f t="shared" si="1"/>
        <v>0.27</v>
      </c>
      <c r="F5" s="17">
        <f t="shared" si="2"/>
        <v>0.20249999999999999</v>
      </c>
      <c r="G5" s="6">
        <v>0.15</v>
      </c>
      <c r="H5" s="4">
        <f>J5*战力关系!$B$5+K5*战力关系!$B$6+L5*战力关系!$B$7+M5*战力关系!$B$8</f>
        <v>857.8125</v>
      </c>
      <c r="I5" s="11">
        <v>1.25</v>
      </c>
      <c r="J5" s="4">
        <f t="shared" si="3"/>
        <v>56.25</v>
      </c>
      <c r="K5" s="4">
        <f t="shared" si="4"/>
        <v>56.25</v>
      </c>
      <c r="L5" s="17">
        <f t="shared" si="5"/>
        <v>0.33750000000000002</v>
      </c>
      <c r="M5" s="17">
        <f t="shared" si="6"/>
        <v>0.25312499999999999</v>
      </c>
      <c r="N5" s="2">
        <f t="shared" si="7"/>
        <v>0.15</v>
      </c>
      <c r="O5" s="2">
        <f>Q5*战力关系!$B$5+R5*战力关系!$B$6+S5*战力关系!$B$7+T5*战力关系!$B$8</f>
        <v>1098</v>
      </c>
      <c r="P5" s="7">
        <v>1.6</v>
      </c>
      <c r="Q5" s="4">
        <f t="shared" si="8"/>
        <v>72</v>
      </c>
      <c r="R5" s="4">
        <f t="shared" si="9"/>
        <v>72</v>
      </c>
      <c r="S5" s="17">
        <f t="shared" si="10"/>
        <v>0.43200000000000005</v>
      </c>
      <c r="T5" s="17">
        <f t="shared" si="11"/>
        <v>0.32400000000000001</v>
      </c>
      <c r="U5" s="2">
        <f t="shared" si="12"/>
        <v>0.15</v>
      </c>
    </row>
    <row r="6" spans="1:21" x14ac:dyDescent="0.2">
      <c r="A6" s="8">
        <v>4</v>
      </c>
      <c r="B6" s="4">
        <f>C6*战力关系!$B$5+D6*战力关系!$B$6+E6*战力关系!$B$7+F6*战力关系!$B$8</f>
        <v>915</v>
      </c>
      <c r="C6" s="12">
        <v>60</v>
      </c>
      <c r="D6" s="2">
        <f t="shared" si="0"/>
        <v>60</v>
      </c>
      <c r="E6" s="2">
        <f t="shared" si="1"/>
        <v>0.36</v>
      </c>
      <c r="F6" s="17">
        <f t="shared" si="2"/>
        <v>0.26999999999999996</v>
      </c>
      <c r="G6" s="12">
        <v>0.2</v>
      </c>
      <c r="H6" s="4">
        <f>J6*战力关系!$B$5+K6*战力关系!$B$6+L6*战力关系!$B$7+M6*战力关系!$B$8</f>
        <v>1143.75</v>
      </c>
      <c r="I6" s="11">
        <v>1.25</v>
      </c>
      <c r="J6" s="4">
        <f t="shared" si="3"/>
        <v>75</v>
      </c>
      <c r="K6" s="4">
        <f t="shared" si="4"/>
        <v>75</v>
      </c>
      <c r="L6" s="17">
        <f t="shared" si="5"/>
        <v>0.44999999999999996</v>
      </c>
      <c r="M6" s="17">
        <f t="shared" si="6"/>
        <v>0.33749999999999997</v>
      </c>
      <c r="N6" s="2">
        <f t="shared" si="7"/>
        <v>0.2</v>
      </c>
      <c r="O6" s="2">
        <f>Q6*战力关系!$B$5+R6*战力关系!$B$6+S6*战力关系!$B$7+T6*战力关系!$B$8</f>
        <v>1464</v>
      </c>
      <c r="P6" s="7">
        <v>1.6</v>
      </c>
      <c r="Q6" s="4">
        <f t="shared" si="8"/>
        <v>96</v>
      </c>
      <c r="R6" s="4">
        <f t="shared" si="9"/>
        <v>96</v>
      </c>
      <c r="S6" s="17">
        <f t="shared" si="10"/>
        <v>0.57599999999999996</v>
      </c>
      <c r="T6" s="17">
        <f t="shared" si="11"/>
        <v>0.43199999999999994</v>
      </c>
      <c r="U6" s="2">
        <f t="shared" si="12"/>
        <v>0.2</v>
      </c>
    </row>
    <row r="7" spans="1:21" x14ac:dyDescent="0.2">
      <c r="A7" s="2">
        <v>5</v>
      </c>
      <c r="B7" s="4">
        <f>C7*战力关系!$B$5+D7*战力关系!$B$6+E7*战力关系!$B$7+F7*战力关系!$B$8</f>
        <v>1143.75</v>
      </c>
      <c r="C7" s="6">
        <v>75</v>
      </c>
      <c r="D7" s="2">
        <f t="shared" si="0"/>
        <v>75</v>
      </c>
      <c r="E7" s="2">
        <f t="shared" si="1"/>
        <v>0.45</v>
      </c>
      <c r="F7" s="17">
        <f t="shared" si="2"/>
        <v>0.33749999999999997</v>
      </c>
      <c r="G7" s="6">
        <v>0.25</v>
      </c>
      <c r="H7" s="4">
        <f>J7*战力关系!$B$5+K7*战力关系!$B$6+L7*战力关系!$B$7+M7*战力关系!$B$8</f>
        <v>1429.6875</v>
      </c>
      <c r="I7" s="11">
        <v>1.25</v>
      </c>
      <c r="J7" s="4">
        <f t="shared" si="3"/>
        <v>93.75</v>
      </c>
      <c r="K7" s="4">
        <f t="shared" si="4"/>
        <v>93.75</v>
      </c>
      <c r="L7" s="17">
        <f t="shared" si="5"/>
        <v>0.5625</v>
      </c>
      <c r="M7" s="17">
        <f t="shared" si="6"/>
        <v>0.42187499999999994</v>
      </c>
      <c r="N7" s="2">
        <f t="shared" si="7"/>
        <v>0.25</v>
      </c>
      <c r="O7" s="2">
        <f>Q7*战力关系!$B$5+R7*战力关系!$B$6+S7*战力关系!$B$7+T7*战力关系!$B$8</f>
        <v>1830</v>
      </c>
      <c r="P7" s="7">
        <v>1.6</v>
      </c>
      <c r="Q7" s="4">
        <f t="shared" si="8"/>
        <v>120</v>
      </c>
      <c r="R7" s="4">
        <f t="shared" si="9"/>
        <v>120</v>
      </c>
      <c r="S7" s="17">
        <f t="shared" si="10"/>
        <v>0.72000000000000008</v>
      </c>
      <c r="T7" s="17">
        <f t="shared" si="11"/>
        <v>0.53999999999999992</v>
      </c>
      <c r="U7" s="2">
        <f t="shared" si="12"/>
        <v>0.25</v>
      </c>
    </row>
    <row r="8" spans="1:21" x14ac:dyDescent="0.2">
      <c r="A8" s="2">
        <v>6</v>
      </c>
      <c r="B8" s="4">
        <f>C8*战力关系!$B$5+D8*战力关系!$B$6+E8*战力关系!$B$7+F8*战力关系!$B$8</f>
        <v>1372.5</v>
      </c>
      <c r="C8" s="6">
        <v>90</v>
      </c>
      <c r="D8" s="2">
        <f t="shared" si="0"/>
        <v>90</v>
      </c>
      <c r="E8" s="2">
        <f t="shared" si="1"/>
        <v>0.54</v>
      </c>
      <c r="F8" s="17">
        <f t="shared" si="2"/>
        <v>0.40499999999999997</v>
      </c>
      <c r="G8" s="6">
        <v>0.3</v>
      </c>
      <c r="H8" s="4">
        <f>J8*战力关系!$B$5+K8*战力关系!$B$6+L8*战力关系!$B$7+M8*战力关系!$B$8</f>
        <v>1715.625</v>
      </c>
      <c r="I8" s="11">
        <v>1.25</v>
      </c>
      <c r="J8" s="4">
        <f t="shared" si="3"/>
        <v>112.5</v>
      </c>
      <c r="K8" s="4">
        <f t="shared" si="4"/>
        <v>112.5</v>
      </c>
      <c r="L8" s="17">
        <f t="shared" si="5"/>
        <v>0.67500000000000004</v>
      </c>
      <c r="M8" s="17">
        <f t="shared" si="6"/>
        <v>0.50624999999999998</v>
      </c>
      <c r="N8" s="2">
        <f t="shared" si="7"/>
        <v>0.3</v>
      </c>
      <c r="O8" s="2">
        <f>Q8*战力关系!$B$5+R8*战力关系!$B$6+S8*战力关系!$B$7+T8*战力关系!$B$8</f>
        <v>2196</v>
      </c>
      <c r="P8" s="7">
        <v>1.6</v>
      </c>
      <c r="Q8" s="4">
        <f t="shared" si="8"/>
        <v>144</v>
      </c>
      <c r="R8" s="4">
        <f t="shared" si="9"/>
        <v>144</v>
      </c>
      <c r="S8" s="17">
        <f t="shared" si="10"/>
        <v>0.8640000000000001</v>
      </c>
      <c r="T8" s="17">
        <f t="shared" si="11"/>
        <v>0.64800000000000002</v>
      </c>
      <c r="U8" s="2">
        <f t="shared" si="12"/>
        <v>0.3</v>
      </c>
    </row>
    <row r="9" spans="1:21" x14ac:dyDescent="0.2">
      <c r="C9" s="13"/>
      <c r="I9" s="14"/>
      <c r="J9" s="15"/>
      <c r="K9" s="15"/>
      <c r="L9" s="15"/>
      <c r="M9" s="15"/>
      <c r="N9" s="15"/>
      <c r="O9" s="15"/>
      <c r="P9" s="16"/>
      <c r="Q9" s="15"/>
      <c r="R9" s="15"/>
      <c r="S9" s="15"/>
      <c r="T9" s="15"/>
    </row>
    <row r="10" spans="1:21" x14ac:dyDescent="0.2">
      <c r="C10" s="13"/>
      <c r="I10" s="14"/>
      <c r="J10" s="15"/>
      <c r="K10" s="15"/>
      <c r="L10" s="15"/>
      <c r="M10" s="15"/>
      <c r="N10" s="15"/>
      <c r="O10" s="15"/>
      <c r="P10" s="16"/>
      <c r="Q10" s="15"/>
      <c r="R10" s="15"/>
      <c r="S10" s="15"/>
      <c r="T10" s="15"/>
    </row>
    <row r="11" spans="1:21" x14ac:dyDescent="0.2">
      <c r="C11" s="13"/>
      <c r="I11" s="14"/>
      <c r="J11" s="15"/>
      <c r="K11" s="15"/>
      <c r="L11" s="15"/>
      <c r="M11" s="15"/>
      <c r="N11" s="15"/>
      <c r="O11" s="15"/>
      <c r="P11" s="16"/>
      <c r="Q11" s="15"/>
      <c r="R11" s="15"/>
      <c r="S11" s="15"/>
      <c r="T11" s="15"/>
    </row>
    <row r="12" spans="1:21" x14ac:dyDescent="0.2">
      <c r="C12" s="13"/>
      <c r="I12" s="14"/>
      <c r="J12" s="15"/>
      <c r="K12" s="15"/>
      <c r="L12" s="15"/>
      <c r="M12" s="15"/>
      <c r="N12" s="15"/>
      <c r="O12" s="15"/>
      <c r="P12" s="16"/>
      <c r="Q12" s="15"/>
      <c r="R12" s="15"/>
      <c r="S12" s="15"/>
      <c r="T12" s="15"/>
    </row>
    <row r="13" spans="1:21" x14ac:dyDescent="0.2">
      <c r="C13" s="13"/>
      <c r="I13" s="14"/>
      <c r="J13" s="15"/>
      <c r="K13" s="15"/>
      <c r="L13" s="15"/>
      <c r="M13" s="15"/>
      <c r="N13" s="15"/>
      <c r="O13" s="15"/>
      <c r="P13" s="16"/>
      <c r="Q13" s="15"/>
      <c r="R13" s="15"/>
      <c r="S13" s="15"/>
      <c r="T13" s="15"/>
    </row>
    <row r="14" spans="1:21" x14ac:dyDescent="0.2">
      <c r="C14" s="13"/>
      <c r="I14" s="14"/>
      <c r="J14" s="15"/>
      <c r="K14" s="15"/>
      <c r="L14" s="15"/>
      <c r="M14" s="15"/>
      <c r="N14" s="15"/>
      <c r="O14" s="15"/>
      <c r="P14" s="16"/>
      <c r="Q14" s="15"/>
      <c r="R14" s="15"/>
      <c r="S14" s="15"/>
      <c r="T14" s="15"/>
    </row>
    <row r="15" spans="1:21" x14ac:dyDescent="0.2">
      <c r="C15" s="13"/>
      <c r="I15" s="14"/>
      <c r="J15" s="15"/>
      <c r="K15" s="15"/>
      <c r="L15" s="15"/>
      <c r="M15" s="15"/>
      <c r="N15" s="15"/>
      <c r="O15" s="15"/>
      <c r="P15" s="16"/>
      <c r="Q15" s="15"/>
      <c r="R15" s="15"/>
      <c r="S15" s="15"/>
      <c r="T15" s="15"/>
    </row>
    <row r="16" spans="1:21" x14ac:dyDescent="0.2">
      <c r="C16" s="13"/>
      <c r="I16" s="14"/>
      <c r="J16" s="15"/>
      <c r="K16" s="15"/>
      <c r="L16" s="15"/>
      <c r="M16" s="15"/>
      <c r="N16" s="15"/>
      <c r="O16" s="15"/>
      <c r="P16" s="16"/>
      <c r="Q16" s="15"/>
      <c r="R16" s="15"/>
      <c r="S16" s="15"/>
      <c r="T16" s="15"/>
    </row>
    <row r="17" spans="3:20" x14ac:dyDescent="0.2">
      <c r="C17" s="13"/>
      <c r="I17" s="14"/>
      <c r="J17" s="15"/>
      <c r="K17" s="15"/>
      <c r="L17" s="15"/>
      <c r="M17" s="15"/>
      <c r="N17" s="15"/>
      <c r="O17" s="15"/>
      <c r="P17" s="16"/>
      <c r="Q17" s="15"/>
      <c r="R17" s="15"/>
      <c r="S17" s="15"/>
      <c r="T17" s="15"/>
    </row>
    <row r="18" spans="3:20" x14ac:dyDescent="0.2">
      <c r="C18" s="13"/>
      <c r="I18" s="14"/>
      <c r="J18" s="15"/>
      <c r="K18" s="15"/>
      <c r="L18" s="15"/>
      <c r="M18" s="15"/>
      <c r="N18" s="15"/>
      <c r="O18" s="15"/>
      <c r="P18" s="16"/>
      <c r="Q18" s="15"/>
      <c r="R18" s="15"/>
      <c r="S18" s="15"/>
      <c r="T18" s="15"/>
    </row>
    <row r="19" spans="3:20" x14ac:dyDescent="0.2">
      <c r="C19" s="13"/>
      <c r="I19" s="14"/>
      <c r="J19" s="15"/>
      <c r="K19" s="15"/>
      <c r="L19" s="15"/>
      <c r="M19" s="15"/>
      <c r="N19" s="15"/>
      <c r="O19" s="15"/>
      <c r="P19" s="16"/>
      <c r="Q19" s="15"/>
      <c r="R19" s="15"/>
      <c r="S19" s="15"/>
      <c r="T19" s="15"/>
    </row>
    <row r="20" spans="3:20" x14ac:dyDescent="0.2">
      <c r="C20" s="13"/>
      <c r="I20" s="14"/>
      <c r="J20" s="15"/>
      <c r="K20" s="15"/>
      <c r="L20" s="15"/>
      <c r="M20" s="15"/>
      <c r="N20" s="15"/>
      <c r="O20" s="15"/>
      <c r="P20" s="16"/>
      <c r="Q20" s="15"/>
      <c r="R20" s="15"/>
      <c r="S20" s="15"/>
      <c r="T20" s="15"/>
    </row>
    <row r="21" spans="3:20" x14ac:dyDescent="0.2">
      <c r="C21" s="13"/>
      <c r="I21" s="14"/>
      <c r="J21" s="15"/>
      <c r="K21" s="15"/>
      <c r="L21" s="15"/>
      <c r="M21" s="15"/>
      <c r="N21" s="15"/>
      <c r="O21" s="15"/>
      <c r="P21" s="16"/>
      <c r="Q21" s="15"/>
      <c r="R21" s="15"/>
      <c r="S21" s="15"/>
      <c r="T21" s="15"/>
    </row>
    <row r="22" spans="3:20" x14ac:dyDescent="0.2">
      <c r="C22" s="13"/>
      <c r="I22" s="14"/>
      <c r="J22" s="15"/>
      <c r="K22" s="15"/>
      <c r="L22" s="15"/>
      <c r="M22" s="15"/>
      <c r="N22" s="15"/>
      <c r="O22" s="15"/>
      <c r="P22" s="16"/>
      <c r="Q22" s="15"/>
      <c r="R22" s="15"/>
      <c r="S22" s="15"/>
      <c r="T22" s="15"/>
    </row>
    <row r="23" spans="3:20" x14ac:dyDescent="0.2">
      <c r="C23" s="13"/>
      <c r="I23" s="14"/>
      <c r="J23" s="15"/>
      <c r="K23" s="15"/>
      <c r="L23" s="15"/>
      <c r="M23" s="15"/>
      <c r="N23" s="15"/>
      <c r="O23" s="15"/>
      <c r="P23" s="16"/>
      <c r="Q23" s="15"/>
      <c r="R23" s="15"/>
      <c r="S23" s="15"/>
      <c r="T23" s="15"/>
    </row>
    <row r="24" spans="3:20" x14ac:dyDescent="0.2">
      <c r="C24" s="13"/>
      <c r="I24" s="14"/>
      <c r="J24" s="15"/>
      <c r="K24" s="15"/>
      <c r="L24" s="15"/>
      <c r="M24" s="15"/>
      <c r="N24" s="15"/>
      <c r="O24" s="15"/>
      <c r="P24" s="16"/>
      <c r="Q24" s="15"/>
      <c r="R24" s="15"/>
      <c r="S24" s="15"/>
      <c r="T24" s="15"/>
    </row>
    <row r="25" spans="3:20" x14ac:dyDescent="0.2">
      <c r="C25" s="13"/>
      <c r="I25" s="14"/>
      <c r="J25" s="15"/>
      <c r="K25" s="15"/>
      <c r="L25" s="15"/>
      <c r="M25" s="15"/>
      <c r="N25" s="15"/>
      <c r="O25" s="15"/>
      <c r="P25" s="16"/>
      <c r="Q25" s="15"/>
      <c r="R25" s="15"/>
      <c r="S25" s="15"/>
      <c r="T25" s="15"/>
    </row>
    <row r="26" spans="3:20" x14ac:dyDescent="0.2">
      <c r="C26" s="13"/>
      <c r="I26" s="14"/>
      <c r="J26" s="15"/>
      <c r="K26" s="15"/>
      <c r="L26" s="15"/>
      <c r="M26" s="15"/>
      <c r="N26" s="15"/>
      <c r="O26" s="15"/>
      <c r="P26" s="16"/>
      <c r="Q26" s="15"/>
      <c r="R26" s="15"/>
      <c r="S26" s="15"/>
      <c r="T26" s="15"/>
    </row>
    <row r="27" spans="3:20" x14ac:dyDescent="0.2">
      <c r="C27" s="13"/>
      <c r="I27" s="14"/>
      <c r="J27" s="15"/>
      <c r="K27" s="15"/>
      <c r="L27" s="15"/>
      <c r="M27" s="15"/>
      <c r="N27" s="15"/>
      <c r="O27" s="15"/>
      <c r="P27" s="16"/>
      <c r="Q27" s="15"/>
      <c r="R27" s="15"/>
      <c r="S27" s="15"/>
      <c r="T27" s="15"/>
    </row>
    <row r="28" spans="3:20" x14ac:dyDescent="0.2">
      <c r="C28" s="13"/>
      <c r="I28" s="14"/>
      <c r="J28" s="15"/>
      <c r="K28" s="15"/>
      <c r="L28" s="15"/>
      <c r="M28" s="15"/>
      <c r="N28" s="15"/>
      <c r="O28" s="15"/>
      <c r="P28" s="16"/>
      <c r="Q28" s="15"/>
      <c r="R28" s="15"/>
      <c r="S28" s="15"/>
      <c r="T28" s="15"/>
    </row>
    <row r="29" spans="3:20" x14ac:dyDescent="0.2">
      <c r="C29" s="13"/>
      <c r="I29" s="14"/>
      <c r="J29" s="15"/>
      <c r="K29" s="15"/>
      <c r="L29" s="15"/>
      <c r="M29" s="15"/>
      <c r="N29" s="15"/>
      <c r="O29" s="15"/>
      <c r="P29" s="16"/>
      <c r="Q29" s="15"/>
      <c r="R29" s="15"/>
      <c r="S29" s="15"/>
      <c r="T29" s="15"/>
    </row>
    <row r="30" spans="3:20" x14ac:dyDescent="0.2">
      <c r="C30" s="13"/>
      <c r="I30" s="14"/>
      <c r="J30" s="15"/>
      <c r="K30" s="15"/>
      <c r="L30" s="15"/>
      <c r="M30" s="15"/>
      <c r="N30" s="15"/>
      <c r="O30" s="15"/>
      <c r="P30" s="16"/>
      <c r="Q30" s="15"/>
      <c r="R30" s="15"/>
      <c r="S30" s="15"/>
      <c r="T30" s="15"/>
    </row>
    <row r="31" spans="3:20" x14ac:dyDescent="0.2">
      <c r="C31" s="13"/>
      <c r="I31" s="14"/>
      <c r="J31" s="15"/>
      <c r="K31" s="15"/>
      <c r="L31" s="15"/>
      <c r="M31" s="15"/>
      <c r="N31" s="15"/>
      <c r="O31" s="15"/>
      <c r="P31" s="16"/>
      <c r="Q31" s="15"/>
      <c r="R31" s="15"/>
      <c r="S31" s="15"/>
      <c r="T31" s="15"/>
    </row>
    <row r="32" spans="3:20" x14ac:dyDescent="0.2">
      <c r="C32" s="13"/>
      <c r="I32" s="14"/>
      <c r="J32" s="15"/>
      <c r="K32" s="15"/>
      <c r="L32" s="15"/>
      <c r="M32" s="15"/>
      <c r="N32" s="15"/>
      <c r="O32" s="15"/>
      <c r="P32" s="16"/>
      <c r="Q32" s="15"/>
      <c r="R32" s="15"/>
      <c r="S32" s="15"/>
      <c r="T32" s="15"/>
    </row>
    <row r="33" spans="3:20" x14ac:dyDescent="0.2">
      <c r="C33" s="13"/>
      <c r="I33" s="14"/>
      <c r="J33" s="15"/>
      <c r="K33" s="15"/>
      <c r="L33" s="15"/>
      <c r="M33" s="15"/>
      <c r="N33" s="15"/>
      <c r="O33" s="15"/>
      <c r="P33" s="16"/>
      <c r="Q33" s="15"/>
      <c r="R33" s="15"/>
      <c r="S33" s="15"/>
      <c r="T33" s="15"/>
    </row>
    <row r="34" spans="3:20" x14ac:dyDescent="0.2">
      <c r="C34" s="13"/>
      <c r="I34" s="14"/>
      <c r="J34" s="15"/>
      <c r="K34" s="15"/>
      <c r="L34" s="15"/>
      <c r="M34" s="15"/>
      <c r="N34" s="15"/>
      <c r="O34" s="15"/>
      <c r="P34" s="16"/>
      <c r="Q34" s="15"/>
      <c r="R34" s="15"/>
      <c r="S34" s="15"/>
      <c r="T34" s="15"/>
    </row>
    <row r="35" spans="3:20" x14ac:dyDescent="0.2">
      <c r="C35" s="13"/>
      <c r="I35" s="14"/>
      <c r="J35" s="15"/>
      <c r="K35" s="15"/>
      <c r="L35" s="15"/>
      <c r="M35" s="15"/>
      <c r="N35" s="15"/>
      <c r="O35" s="15"/>
      <c r="P35" s="16"/>
      <c r="Q35" s="15"/>
      <c r="R35" s="15"/>
      <c r="S35" s="15"/>
      <c r="T35" s="15"/>
    </row>
    <row r="36" spans="3:20" x14ac:dyDescent="0.2">
      <c r="C36" s="13"/>
      <c r="I36" s="14"/>
      <c r="J36" s="15"/>
      <c r="K36" s="15"/>
      <c r="L36" s="15"/>
      <c r="M36" s="15"/>
      <c r="N36" s="15"/>
      <c r="O36" s="15"/>
      <c r="P36" s="16"/>
      <c r="Q36" s="15"/>
      <c r="R36" s="15"/>
      <c r="S36" s="15"/>
      <c r="T36" s="15"/>
    </row>
    <row r="37" spans="3:20" x14ac:dyDescent="0.2">
      <c r="C37" s="13"/>
      <c r="I37" s="14"/>
      <c r="J37" s="15"/>
      <c r="K37" s="15"/>
      <c r="L37" s="15"/>
      <c r="M37" s="15"/>
      <c r="N37" s="15"/>
      <c r="O37" s="15"/>
      <c r="P37" s="16"/>
      <c r="Q37" s="15"/>
      <c r="R37" s="15"/>
      <c r="S37" s="15"/>
      <c r="T37" s="15"/>
    </row>
    <row r="38" spans="3:20" x14ac:dyDescent="0.2">
      <c r="C38" s="13"/>
      <c r="I38" s="14"/>
      <c r="J38" s="15"/>
      <c r="K38" s="15"/>
      <c r="L38" s="15"/>
      <c r="M38" s="15"/>
      <c r="N38" s="15"/>
      <c r="O38" s="15"/>
      <c r="P38" s="16"/>
      <c r="Q38" s="15"/>
      <c r="R38" s="15"/>
      <c r="S38" s="15"/>
      <c r="T38" s="15"/>
    </row>
    <row r="39" spans="3:20" x14ac:dyDescent="0.2">
      <c r="C39" s="13"/>
      <c r="I39" s="14"/>
      <c r="J39" s="15"/>
      <c r="K39" s="15"/>
      <c r="L39" s="15"/>
      <c r="M39" s="15"/>
      <c r="N39" s="15"/>
      <c r="O39" s="15"/>
      <c r="P39" s="16"/>
      <c r="Q39" s="15"/>
      <c r="R39" s="15"/>
      <c r="S39" s="15"/>
      <c r="T39" s="15"/>
    </row>
    <row r="40" spans="3:20" x14ac:dyDescent="0.2">
      <c r="C40" s="13"/>
      <c r="I40" s="14"/>
      <c r="J40" s="15"/>
      <c r="K40" s="15"/>
      <c r="L40" s="15"/>
      <c r="M40" s="15"/>
      <c r="N40" s="15"/>
      <c r="O40" s="15"/>
      <c r="P40" s="16"/>
      <c r="Q40" s="15"/>
      <c r="R40" s="15"/>
      <c r="S40" s="15"/>
      <c r="T40" s="15"/>
    </row>
    <row r="41" spans="3:20" x14ac:dyDescent="0.2">
      <c r="C41" s="13"/>
      <c r="I41" s="14"/>
      <c r="J41" s="15"/>
      <c r="K41" s="15"/>
      <c r="L41" s="15"/>
      <c r="M41" s="15"/>
      <c r="N41" s="15"/>
      <c r="O41" s="15"/>
      <c r="P41" s="16"/>
      <c r="Q41" s="15"/>
      <c r="R41" s="15"/>
      <c r="S41" s="15"/>
      <c r="T41" s="15"/>
    </row>
    <row r="42" spans="3:20" x14ac:dyDescent="0.2">
      <c r="C42" s="13"/>
      <c r="I42" s="14"/>
      <c r="J42" s="15"/>
      <c r="K42" s="15"/>
      <c r="L42" s="15"/>
      <c r="M42" s="15"/>
      <c r="N42" s="15"/>
      <c r="O42" s="15"/>
      <c r="P42" s="16"/>
      <c r="Q42" s="15"/>
      <c r="R42" s="15"/>
      <c r="S42" s="15"/>
      <c r="T42" s="15"/>
    </row>
  </sheetData>
  <mergeCells count="2">
    <mergeCell ref="H1:N1"/>
    <mergeCell ref="O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663C-6A41-4A6A-A38D-4069363148FF}">
  <sheetPr>
    <tabColor theme="4" tint="-0.249977111117893"/>
  </sheetPr>
  <dimension ref="A1:AH48"/>
  <sheetViews>
    <sheetView workbookViewId="0">
      <selection activeCell="V57" sqref="V57"/>
    </sheetView>
  </sheetViews>
  <sheetFormatPr defaultRowHeight="14.25" x14ac:dyDescent="0.2"/>
  <cols>
    <col min="34" max="34" width="9.75" customWidth="1"/>
  </cols>
  <sheetData>
    <row r="1" spans="1:34" x14ac:dyDescent="0.2">
      <c r="A1" s="2"/>
      <c r="B1" s="2"/>
      <c r="C1" s="2"/>
      <c r="D1" s="164" t="s">
        <v>58</v>
      </c>
      <c r="E1" s="165"/>
      <c r="F1" s="165"/>
      <c r="G1" s="165"/>
      <c r="H1" s="165"/>
      <c r="I1" s="166"/>
      <c r="J1" s="167" t="s">
        <v>59</v>
      </c>
      <c r="K1" s="168"/>
      <c r="L1" s="168"/>
      <c r="M1" s="168"/>
      <c r="N1" s="168"/>
      <c r="O1" s="169"/>
      <c r="P1" s="170" t="s">
        <v>60</v>
      </c>
      <c r="Q1" s="171"/>
      <c r="R1" s="171"/>
      <c r="S1" s="171"/>
      <c r="T1" s="171"/>
      <c r="U1" s="172"/>
      <c r="V1" s="173" t="s">
        <v>61</v>
      </c>
      <c r="W1" s="174"/>
      <c r="X1" s="174"/>
      <c r="Y1" s="174"/>
      <c r="Z1" s="174"/>
      <c r="AA1" s="175"/>
      <c r="AB1" s="176" t="s">
        <v>62</v>
      </c>
      <c r="AC1" s="177"/>
      <c r="AD1" s="177"/>
      <c r="AE1" s="177"/>
      <c r="AF1" s="177"/>
      <c r="AG1" s="177"/>
    </row>
    <row r="2" spans="1:34" x14ac:dyDescent="0.2">
      <c r="A2" s="5" t="s">
        <v>54</v>
      </c>
      <c r="B2" s="5" t="s">
        <v>63</v>
      </c>
      <c r="C2" s="5" t="s">
        <v>42</v>
      </c>
      <c r="D2" s="5" t="s">
        <v>19</v>
      </c>
      <c r="E2" s="5" t="s">
        <v>1</v>
      </c>
      <c r="F2" s="5" t="s">
        <v>2</v>
      </c>
      <c r="G2" s="5" t="s">
        <v>4</v>
      </c>
      <c r="H2" s="28" t="s">
        <v>20</v>
      </c>
      <c r="I2" s="5" t="s">
        <v>6</v>
      </c>
      <c r="J2" s="5" t="s">
        <v>19</v>
      </c>
      <c r="K2" s="5" t="s">
        <v>3</v>
      </c>
      <c r="L2" s="5" t="s">
        <v>4</v>
      </c>
      <c r="M2" s="28" t="s">
        <v>20</v>
      </c>
      <c r="N2" s="5" t="s">
        <v>6</v>
      </c>
      <c r="O2" s="5" t="s">
        <v>7</v>
      </c>
      <c r="P2" s="27" t="s">
        <v>19</v>
      </c>
      <c r="Q2" s="5" t="s">
        <v>1</v>
      </c>
      <c r="R2" s="5" t="s">
        <v>3</v>
      </c>
      <c r="S2" s="5" t="s">
        <v>4</v>
      </c>
      <c r="T2" s="5" t="s">
        <v>7</v>
      </c>
      <c r="U2" s="5" t="s">
        <v>6</v>
      </c>
      <c r="V2" s="27" t="s">
        <v>19</v>
      </c>
      <c r="W2" s="5" t="s">
        <v>2</v>
      </c>
      <c r="X2" s="5" t="s">
        <v>3</v>
      </c>
      <c r="Y2" s="5" t="s">
        <v>4</v>
      </c>
      <c r="Z2" s="5" t="s">
        <v>7</v>
      </c>
      <c r="AA2" s="5" t="s">
        <v>6</v>
      </c>
      <c r="AB2" s="27" t="s">
        <v>19</v>
      </c>
      <c r="AC2" s="5" t="s">
        <v>1</v>
      </c>
      <c r="AD2" s="5" t="s">
        <v>2</v>
      </c>
      <c r="AE2" s="26" t="s">
        <v>4</v>
      </c>
      <c r="AF2" s="28" t="s">
        <v>20</v>
      </c>
      <c r="AG2" s="5" t="s">
        <v>6</v>
      </c>
      <c r="AH2" s="27" t="s">
        <v>74</v>
      </c>
    </row>
    <row r="3" spans="1:34" x14ac:dyDescent="0.2">
      <c r="A3" s="163" t="s">
        <v>68</v>
      </c>
      <c r="B3" s="163" t="s">
        <v>65</v>
      </c>
      <c r="C3" s="3" t="s">
        <v>45</v>
      </c>
      <c r="D3" s="3">
        <f t="shared" ref="D3:AG3" si="0">$AH$3*D29</f>
        <v>180</v>
      </c>
      <c r="E3" s="3">
        <f t="shared" si="0"/>
        <v>12</v>
      </c>
      <c r="F3" s="3">
        <f t="shared" si="0"/>
        <v>12</v>
      </c>
      <c r="G3" s="3">
        <f t="shared" si="0"/>
        <v>12</v>
      </c>
      <c r="H3" s="3">
        <f t="shared" si="0"/>
        <v>0</v>
      </c>
      <c r="I3" s="3">
        <f t="shared" si="0"/>
        <v>0</v>
      </c>
      <c r="J3" s="3">
        <f t="shared" si="0"/>
        <v>180</v>
      </c>
      <c r="K3" s="3">
        <f t="shared" si="0"/>
        <v>300</v>
      </c>
      <c r="L3" s="3">
        <f t="shared" si="0"/>
        <v>12</v>
      </c>
      <c r="M3" s="3">
        <f t="shared" si="0"/>
        <v>12</v>
      </c>
      <c r="N3" s="3">
        <f t="shared" si="0"/>
        <v>0</v>
      </c>
      <c r="O3" s="3">
        <f t="shared" si="0"/>
        <v>0</v>
      </c>
      <c r="P3" s="3">
        <f t="shared" si="0"/>
        <v>180</v>
      </c>
      <c r="Q3" s="3">
        <f t="shared" si="0"/>
        <v>12</v>
      </c>
      <c r="R3" s="3">
        <f t="shared" si="0"/>
        <v>300</v>
      </c>
      <c r="S3" s="3">
        <f t="shared" si="0"/>
        <v>12</v>
      </c>
      <c r="T3" s="3">
        <f t="shared" si="0"/>
        <v>0</v>
      </c>
      <c r="U3" s="3">
        <f t="shared" si="0"/>
        <v>0</v>
      </c>
      <c r="V3" s="3">
        <f t="shared" si="0"/>
        <v>180</v>
      </c>
      <c r="W3" s="3">
        <f t="shared" si="0"/>
        <v>12</v>
      </c>
      <c r="X3" s="3">
        <f t="shared" si="0"/>
        <v>300</v>
      </c>
      <c r="Y3" s="3">
        <f t="shared" si="0"/>
        <v>12</v>
      </c>
      <c r="Z3" s="3">
        <f t="shared" si="0"/>
        <v>0</v>
      </c>
      <c r="AA3" s="3">
        <f t="shared" si="0"/>
        <v>0</v>
      </c>
      <c r="AB3" s="3">
        <f t="shared" si="0"/>
        <v>180</v>
      </c>
      <c r="AC3" s="3">
        <f t="shared" si="0"/>
        <v>12</v>
      </c>
      <c r="AD3" s="3">
        <f t="shared" si="0"/>
        <v>12</v>
      </c>
      <c r="AE3" s="3">
        <f t="shared" si="0"/>
        <v>12</v>
      </c>
      <c r="AF3" s="3">
        <f t="shared" si="0"/>
        <v>0</v>
      </c>
      <c r="AG3" s="3">
        <f t="shared" si="0"/>
        <v>0</v>
      </c>
      <c r="AH3">
        <v>6</v>
      </c>
    </row>
    <row r="4" spans="1:34" x14ac:dyDescent="0.2">
      <c r="A4" s="163"/>
      <c r="B4" s="163"/>
      <c r="C4" s="3" t="s">
        <v>46</v>
      </c>
      <c r="D4" s="3">
        <f t="shared" ref="D4:AG4" si="1">$AH$3*D30</f>
        <v>270</v>
      </c>
      <c r="E4" s="3">
        <f t="shared" si="1"/>
        <v>18</v>
      </c>
      <c r="F4" s="3">
        <f t="shared" si="1"/>
        <v>18</v>
      </c>
      <c r="G4" s="3">
        <f t="shared" si="1"/>
        <v>18</v>
      </c>
      <c r="H4" s="3">
        <f t="shared" si="1"/>
        <v>0</v>
      </c>
      <c r="I4" s="3">
        <f t="shared" si="1"/>
        <v>0</v>
      </c>
      <c r="J4" s="3">
        <f t="shared" si="1"/>
        <v>270</v>
      </c>
      <c r="K4" s="3">
        <f t="shared" si="1"/>
        <v>450</v>
      </c>
      <c r="L4" s="3">
        <f t="shared" si="1"/>
        <v>18</v>
      </c>
      <c r="M4" s="3">
        <f t="shared" si="1"/>
        <v>18</v>
      </c>
      <c r="N4" s="3">
        <f t="shared" si="1"/>
        <v>0</v>
      </c>
      <c r="O4" s="3">
        <f t="shared" si="1"/>
        <v>0</v>
      </c>
      <c r="P4" s="3">
        <f t="shared" si="1"/>
        <v>270</v>
      </c>
      <c r="Q4" s="3">
        <f t="shared" si="1"/>
        <v>18</v>
      </c>
      <c r="R4" s="3">
        <f t="shared" si="1"/>
        <v>450</v>
      </c>
      <c r="S4" s="3">
        <f t="shared" si="1"/>
        <v>18</v>
      </c>
      <c r="T4" s="3">
        <f t="shared" si="1"/>
        <v>0</v>
      </c>
      <c r="U4" s="3">
        <f t="shared" si="1"/>
        <v>0</v>
      </c>
      <c r="V4" s="3">
        <f t="shared" si="1"/>
        <v>270</v>
      </c>
      <c r="W4" s="3">
        <f t="shared" si="1"/>
        <v>18</v>
      </c>
      <c r="X4" s="3">
        <f t="shared" si="1"/>
        <v>450</v>
      </c>
      <c r="Y4" s="3">
        <f t="shared" si="1"/>
        <v>18</v>
      </c>
      <c r="Z4" s="3">
        <f t="shared" si="1"/>
        <v>0</v>
      </c>
      <c r="AA4" s="3">
        <f t="shared" si="1"/>
        <v>0</v>
      </c>
      <c r="AB4" s="3">
        <f t="shared" si="1"/>
        <v>270</v>
      </c>
      <c r="AC4" s="3">
        <f t="shared" si="1"/>
        <v>18</v>
      </c>
      <c r="AD4" s="3">
        <f t="shared" si="1"/>
        <v>18</v>
      </c>
      <c r="AE4" s="3">
        <f t="shared" si="1"/>
        <v>18</v>
      </c>
      <c r="AF4" s="3">
        <f t="shared" si="1"/>
        <v>0</v>
      </c>
      <c r="AG4" s="3">
        <f t="shared" si="1"/>
        <v>0</v>
      </c>
    </row>
    <row r="5" spans="1:34" x14ac:dyDescent="0.2">
      <c r="A5" s="163"/>
      <c r="B5" s="163"/>
      <c r="C5" s="3" t="s">
        <v>64</v>
      </c>
      <c r="D5" s="3">
        <f t="shared" ref="D5:Q5" si="2">$AH$3*D31</f>
        <v>360</v>
      </c>
      <c r="E5" s="3">
        <f t="shared" si="2"/>
        <v>24</v>
      </c>
      <c r="F5" s="3">
        <f t="shared" si="2"/>
        <v>24</v>
      </c>
      <c r="G5" s="3">
        <f t="shared" si="2"/>
        <v>24</v>
      </c>
      <c r="H5" s="3">
        <f t="shared" si="2"/>
        <v>0</v>
      </c>
      <c r="I5" s="3">
        <f t="shared" si="2"/>
        <v>0</v>
      </c>
      <c r="J5" s="3">
        <f t="shared" si="2"/>
        <v>360</v>
      </c>
      <c r="K5" s="3">
        <f t="shared" si="2"/>
        <v>600</v>
      </c>
      <c r="L5" s="3">
        <f t="shared" si="2"/>
        <v>24</v>
      </c>
      <c r="M5" s="3">
        <f t="shared" si="2"/>
        <v>24</v>
      </c>
      <c r="N5" s="3">
        <f t="shared" si="2"/>
        <v>0</v>
      </c>
      <c r="O5" s="3">
        <f t="shared" si="2"/>
        <v>0</v>
      </c>
      <c r="P5" s="3">
        <f t="shared" si="2"/>
        <v>360</v>
      </c>
      <c r="Q5" s="3">
        <f t="shared" si="2"/>
        <v>24</v>
      </c>
      <c r="R5" s="3">
        <f t="shared" ref="R5:S5" si="3">$AH$3*R31</f>
        <v>600</v>
      </c>
      <c r="S5" s="3">
        <f t="shared" si="3"/>
        <v>24</v>
      </c>
      <c r="T5" s="3">
        <f t="shared" ref="T5:AG5" si="4">$AH$3*T31</f>
        <v>0</v>
      </c>
      <c r="U5" s="3">
        <f t="shared" si="4"/>
        <v>0</v>
      </c>
      <c r="V5" s="3">
        <f t="shared" si="4"/>
        <v>360</v>
      </c>
      <c r="W5" s="3">
        <f t="shared" si="4"/>
        <v>24</v>
      </c>
      <c r="X5" s="3">
        <f t="shared" si="4"/>
        <v>600</v>
      </c>
      <c r="Y5" s="3">
        <f t="shared" si="4"/>
        <v>24</v>
      </c>
      <c r="Z5" s="3">
        <f t="shared" si="4"/>
        <v>0</v>
      </c>
      <c r="AA5" s="3">
        <f t="shared" si="4"/>
        <v>0</v>
      </c>
      <c r="AB5" s="3">
        <f t="shared" si="4"/>
        <v>360</v>
      </c>
      <c r="AC5" s="3">
        <f t="shared" si="4"/>
        <v>24</v>
      </c>
      <c r="AD5" s="3">
        <f t="shared" si="4"/>
        <v>24</v>
      </c>
      <c r="AE5" s="3">
        <f t="shared" si="4"/>
        <v>24</v>
      </c>
      <c r="AF5" s="3">
        <f t="shared" si="4"/>
        <v>0</v>
      </c>
      <c r="AG5" s="3">
        <f t="shared" si="4"/>
        <v>0</v>
      </c>
    </row>
    <row r="6" spans="1:34" x14ac:dyDescent="0.2">
      <c r="A6" s="163"/>
      <c r="B6" s="163" t="s">
        <v>66</v>
      </c>
      <c r="C6" s="3" t="s">
        <v>45</v>
      </c>
      <c r="D6" s="3">
        <f t="shared" ref="D6:Q6" si="5">$AH$3*D32</f>
        <v>180</v>
      </c>
      <c r="E6" s="3">
        <f t="shared" si="5"/>
        <v>12</v>
      </c>
      <c r="F6" s="3">
        <f t="shared" si="5"/>
        <v>12</v>
      </c>
      <c r="G6" s="3">
        <f t="shared" si="5"/>
        <v>0</v>
      </c>
      <c r="H6" s="3">
        <f t="shared" si="5"/>
        <v>12</v>
      </c>
      <c r="I6" s="3">
        <f t="shared" si="5"/>
        <v>0</v>
      </c>
      <c r="J6" s="3">
        <f t="shared" si="5"/>
        <v>180</v>
      </c>
      <c r="K6" s="3">
        <f t="shared" si="5"/>
        <v>300</v>
      </c>
      <c r="L6" s="3">
        <f t="shared" si="5"/>
        <v>0</v>
      </c>
      <c r="M6" s="3">
        <f t="shared" si="5"/>
        <v>12</v>
      </c>
      <c r="N6" s="3">
        <f t="shared" si="5"/>
        <v>0</v>
      </c>
      <c r="O6" s="3">
        <f t="shared" si="5"/>
        <v>0.12</v>
      </c>
      <c r="P6" s="3">
        <f t="shared" si="5"/>
        <v>180</v>
      </c>
      <c r="Q6" s="3">
        <f t="shared" si="5"/>
        <v>12</v>
      </c>
      <c r="R6" s="3">
        <f t="shared" ref="R6:S6" si="6">$AH$3*R32</f>
        <v>300</v>
      </c>
      <c r="S6" s="3">
        <f t="shared" si="6"/>
        <v>0</v>
      </c>
      <c r="T6" s="3">
        <f t="shared" ref="T6:AG6" si="7">$AH$3*T32</f>
        <v>0.12</v>
      </c>
      <c r="U6" s="3">
        <f t="shared" si="7"/>
        <v>0</v>
      </c>
      <c r="V6" s="3">
        <f t="shared" si="7"/>
        <v>180</v>
      </c>
      <c r="W6" s="3">
        <f t="shared" si="7"/>
        <v>12</v>
      </c>
      <c r="X6" s="3">
        <f t="shared" si="7"/>
        <v>300</v>
      </c>
      <c r="Y6" s="3">
        <f t="shared" si="7"/>
        <v>0</v>
      </c>
      <c r="Z6" s="3">
        <f t="shared" si="7"/>
        <v>0.12</v>
      </c>
      <c r="AA6" s="3">
        <f t="shared" si="7"/>
        <v>0</v>
      </c>
      <c r="AB6" s="3">
        <f t="shared" si="7"/>
        <v>180</v>
      </c>
      <c r="AC6" s="3">
        <f t="shared" si="7"/>
        <v>12</v>
      </c>
      <c r="AD6" s="3">
        <f t="shared" si="7"/>
        <v>12</v>
      </c>
      <c r="AE6" s="3">
        <f t="shared" si="7"/>
        <v>0</v>
      </c>
      <c r="AF6" s="3">
        <f t="shared" si="7"/>
        <v>12</v>
      </c>
      <c r="AG6" s="3">
        <f t="shared" si="7"/>
        <v>0</v>
      </c>
    </row>
    <row r="7" spans="1:34" x14ac:dyDescent="0.2">
      <c r="A7" s="163"/>
      <c r="B7" s="163"/>
      <c r="C7" s="3" t="s">
        <v>46</v>
      </c>
      <c r="D7" s="3">
        <f t="shared" ref="D7:Q7" si="8">$AH$3*D33</f>
        <v>270</v>
      </c>
      <c r="E7" s="3">
        <f t="shared" si="8"/>
        <v>18</v>
      </c>
      <c r="F7" s="3">
        <f t="shared" si="8"/>
        <v>18</v>
      </c>
      <c r="G7" s="3">
        <f t="shared" si="8"/>
        <v>0</v>
      </c>
      <c r="H7" s="3">
        <f t="shared" si="8"/>
        <v>18</v>
      </c>
      <c r="I7" s="3">
        <f t="shared" si="8"/>
        <v>0</v>
      </c>
      <c r="J7" s="3">
        <f t="shared" si="8"/>
        <v>270</v>
      </c>
      <c r="K7" s="3">
        <f t="shared" si="8"/>
        <v>450</v>
      </c>
      <c r="L7" s="3">
        <f t="shared" si="8"/>
        <v>0</v>
      </c>
      <c r="M7" s="3">
        <f t="shared" si="8"/>
        <v>18</v>
      </c>
      <c r="N7" s="3">
        <f t="shared" si="8"/>
        <v>0</v>
      </c>
      <c r="O7" s="3">
        <f t="shared" si="8"/>
        <v>0.18</v>
      </c>
      <c r="P7" s="3">
        <f t="shared" si="8"/>
        <v>270</v>
      </c>
      <c r="Q7" s="3">
        <f t="shared" si="8"/>
        <v>18</v>
      </c>
      <c r="R7" s="3">
        <f t="shared" ref="R7:S7" si="9">$AH$3*R33</f>
        <v>450</v>
      </c>
      <c r="S7" s="3">
        <f t="shared" si="9"/>
        <v>0</v>
      </c>
      <c r="T7" s="3">
        <f t="shared" ref="T7:AG7" si="10">$AH$3*T33</f>
        <v>0.18</v>
      </c>
      <c r="U7" s="3">
        <f t="shared" si="10"/>
        <v>0</v>
      </c>
      <c r="V7" s="3">
        <f t="shared" si="10"/>
        <v>270</v>
      </c>
      <c r="W7" s="3">
        <f t="shared" si="10"/>
        <v>18</v>
      </c>
      <c r="X7" s="3">
        <f t="shared" si="10"/>
        <v>450</v>
      </c>
      <c r="Y7" s="3">
        <f t="shared" si="10"/>
        <v>0</v>
      </c>
      <c r="Z7" s="3">
        <f t="shared" si="10"/>
        <v>0.18</v>
      </c>
      <c r="AA7" s="3">
        <f t="shared" si="10"/>
        <v>0</v>
      </c>
      <c r="AB7" s="3">
        <f t="shared" si="10"/>
        <v>270</v>
      </c>
      <c r="AC7" s="3">
        <f t="shared" si="10"/>
        <v>18</v>
      </c>
      <c r="AD7" s="3">
        <f t="shared" si="10"/>
        <v>18</v>
      </c>
      <c r="AE7" s="3">
        <f t="shared" si="10"/>
        <v>0</v>
      </c>
      <c r="AF7" s="3">
        <f t="shared" si="10"/>
        <v>18</v>
      </c>
      <c r="AG7" s="3">
        <f t="shared" si="10"/>
        <v>0</v>
      </c>
    </row>
    <row r="8" spans="1:34" x14ac:dyDescent="0.2">
      <c r="A8" s="163"/>
      <c r="B8" s="163"/>
      <c r="C8" s="3" t="s">
        <v>64</v>
      </c>
      <c r="D8" s="3">
        <f t="shared" ref="D8:Q8" si="11">$AH$3*D34</f>
        <v>360</v>
      </c>
      <c r="E8" s="3">
        <f t="shared" si="11"/>
        <v>24</v>
      </c>
      <c r="F8" s="3">
        <f t="shared" si="11"/>
        <v>24</v>
      </c>
      <c r="G8" s="3">
        <f t="shared" si="11"/>
        <v>0</v>
      </c>
      <c r="H8" s="3">
        <f t="shared" si="11"/>
        <v>24</v>
      </c>
      <c r="I8" s="3">
        <f t="shared" si="11"/>
        <v>0</v>
      </c>
      <c r="J8" s="3">
        <f t="shared" si="11"/>
        <v>360</v>
      </c>
      <c r="K8" s="3">
        <f t="shared" si="11"/>
        <v>600</v>
      </c>
      <c r="L8" s="3">
        <f t="shared" si="11"/>
        <v>0</v>
      </c>
      <c r="M8" s="3">
        <f t="shared" si="11"/>
        <v>24</v>
      </c>
      <c r="N8" s="3">
        <f t="shared" si="11"/>
        <v>0</v>
      </c>
      <c r="O8" s="3">
        <f t="shared" si="11"/>
        <v>0.24</v>
      </c>
      <c r="P8" s="3">
        <f t="shared" si="11"/>
        <v>360</v>
      </c>
      <c r="Q8" s="3">
        <f t="shared" si="11"/>
        <v>24</v>
      </c>
      <c r="R8" s="3">
        <f t="shared" ref="R8:S8" si="12">$AH$3*R34</f>
        <v>600</v>
      </c>
      <c r="S8" s="3">
        <f t="shared" si="12"/>
        <v>0</v>
      </c>
      <c r="T8" s="3">
        <f t="shared" ref="T8:AG8" si="13">$AH$3*T34</f>
        <v>0.24</v>
      </c>
      <c r="U8" s="3">
        <f t="shared" si="13"/>
        <v>0</v>
      </c>
      <c r="V8" s="3">
        <f t="shared" si="13"/>
        <v>360</v>
      </c>
      <c r="W8" s="3">
        <f t="shared" si="13"/>
        <v>24</v>
      </c>
      <c r="X8" s="3">
        <f t="shared" si="13"/>
        <v>600</v>
      </c>
      <c r="Y8" s="3">
        <f t="shared" si="13"/>
        <v>0</v>
      </c>
      <c r="Z8" s="3">
        <f t="shared" si="13"/>
        <v>0.24</v>
      </c>
      <c r="AA8" s="3">
        <f t="shared" si="13"/>
        <v>0</v>
      </c>
      <c r="AB8" s="3">
        <f t="shared" si="13"/>
        <v>360</v>
      </c>
      <c r="AC8" s="3">
        <f t="shared" si="13"/>
        <v>24</v>
      </c>
      <c r="AD8" s="3">
        <f t="shared" si="13"/>
        <v>24</v>
      </c>
      <c r="AE8" s="3">
        <f t="shared" si="13"/>
        <v>0</v>
      </c>
      <c r="AF8" s="3">
        <f t="shared" si="13"/>
        <v>24</v>
      </c>
      <c r="AG8" s="3">
        <f t="shared" si="13"/>
        <v>0</v>
      </c>
    </row>
    <row r="9" spans="1:34" x14ac:dyDescent="0.2">
      <c r="A9" s="163"/>
      <c r="B9" s="163" t="s">
        <v>67</v>
      </c>
      <c r="C9" s="3" t="s">
        <v>45</v>
      </c>
      <c r="D9" s="3">
        <f t="shared" ref="D9:Q9" si="14">$AH$3*D35</f>
        <v>180</v>
      </c>
      <c r="E9" s="3">
        <f t="shared" si="14"/>
        <v>12</v>
      </c>
      <c r="F9" s="3">
        <f t="shared" si="14"/>
        <v>12</v>
      </c>
      <c r="G9" s="3">
        <f t="shared" si="14"/>
        <v>0</v>
      </c>
      <c r="H9" s="3">
        <f t="shared" si="14"/>
        <v>0</v>
      </c>
      <c r="I9" s="3">
        <f t="shared" si="14"/>
        <v>0.12</v>
      </c>
      <c r="J9" s="3">
        <f t="shared" si="14"/>
        <v>180</v>
      </c>
      <c r="K9" s="3">
        <f t="shared" si="14"/>
        <v>300</v>
      </c>
      <c r="L9" s="3">
        <f t="shared" si="14"/>
        <v>0</v>
      </c>
      <c r="M9" s="3">
        <f t="shared" si="14"/>
        <v>0</v>
      </c>
      <c r="N9" s="3">
        <f t="shared" si="14"/>
        <v>0.12</v>
      </c>
      <c r="O9" s="3">
        <f t="shared" si="14"/>
        <v>0.12</v>
      </c>
      <c r="P9" s="3">
        <f t="shared" si="14"/>
        <v>180</v>
      </c>
      <c r="Q9" s="3">
        <f t="shared" si="14"/>
        <v>12</v>
      </c>
      <c r="R9" s="3">
        <f t="shared" ref="R9:S9" si="15">$AH$3*R35</f>
        <v>300</v>
      </c>
      <c r="S9" s="3">
        <f t="shared" si="15"/>
        <v>0</v>
      </c>
      <c r="T9" s="3">
        <f t="shared" ref="T9:AG9" si="16">$AH$3*T35</f>
        <v>0</v>
      </c>
      <c r="U9" s="3">
        <f t="shared" si="16"/>
        <v>0.12</v>
      </c>
      <c r="V9" s="3">
        <f t="shared" si="16"/>
        <v>180</v>
      </c>
      <c r="W9" s="3">
        <f t="shared" si="16"/>
        <v>12</v>
      </c>
      <c r="X9" s="3">
        <f t="shared" si="16"/>
        <v>300</v>
      </c>
      <c r="Y9" s="3">
        <f t="shared" si="16"/>
        <v>0</v>
      </c>
      <c r="Z9" s="3">
        <f t="shared" si="16"/>
        <v>0</v>
      </c>
      <c r="AA9" s="3">
        <f t="shared" si="16"/>
        <v>0.12</v>
      </c>
      <c r="AB9" s="3">
        <f t="shared" si="16"/>
        <v>180</v>
      </c>
      <c r="AC9" s="3">
        <f t="shared" si="16"/>
        <v>12</v>
      </c>
      <c r="AD9" s="3">
        <f t="shared" si="16"/>
        <v>12</v>
      </c>
      <c r="AE9" s="3">
        <f t="shared" si="16"/>
        <v>0</v>
      </c>
      <c r="AF9" s="3">
        <f t="shared" si="16"/>
        <v>0</v>
      </c>
      <c r="AG9" s="3">
        <f t="shared" si="16"/>
        <v>0.12</v>
      </c>
    </row>
    <row r="10" spans="1:34" ht="13.5" customHeight="1" x14ac:dyDescent="0.2">
      <c r="A10" s="163"/>
      <c r="B10" s="163"/>
      <c r="C10" s="3" t="s">
        <v>46</v>
      </c>
      <c r="D10" s="3">
        <f t="shared" ref="D10:Q10" si="17">$AH$3*D36</f>
        <v>270</v>
      </c>
      <c r="E10" s="3">
        <f t="shared" si="17"/>
        <v>18</v>
      </c>
      <c r="F10" s="3">
        <f t="shared" si="17"/>
        <v>18</v>
      </c>
      <c r="G10" s="3">
        <f t="shared" si="17"/>
        <v>0</v>
      </c>
      <c r="H10" s="3">
        <f t="shared" si="17"/>
        <v>0</v>
      </c>
      <c r="I10" s="3">
        <f t="shared" si="17"/>
        <v>0.18</v>
      </c>
      <c r="J10" s="3">
        <f t="shared" si="17"/>
        <v>270</v>
      </c>
      <c r="K10" s="3">
        <f t="shared" si="17"/>
        <v>450</v>
      </c>
      <c r="L10" s="3">
        <f t="shared" si="17"/>
        <v>0</v>
      </c>
      <c r="M10" s="3">
        <f t="shared" si="17"/>
        <v>0</v>
      </c>
      <c r="N10" s="3">
        <f t="shared" si="17"/>
        <v>0.18</v>
      </c>
      <c r="O10" s="3">
        <f t="shared" si="17"/>
        <v>0.18</v>
      </c>
      <c r="P10" s="3">
        <f t="shared" si="17"/>
        <v>270</v>
      </c>
      <c r="Q10" s="3">
        <f t="shared" si="17"/>
        <v>18</v>
      </c>
      <c r="R10" s="3">
        <f t="shared" ref="R10:S10" si="18">$AH$3*R36</f>
        <v>450</v>
      </c>
      <c r="S10" s="3">
        <f t="shared" si="18"/>
        <v>0</v>
      </c>
      <c r="T10" s="3">
        <f t="shared" ref="T10:AG10" si="19">$AH$3*T36</f>
        <v>0</v>
      </c>
      <c r="U10" s="3">
        <f t="shared" si="19"/>
        <v>0.18</v>
      </c>
      <c r="V10" s="3">
        <f t="shared" si="19"/>
        <v>270</v>
      </c>
      <c r="W10" s="3">
        <f t="shared" si="19"/>
        <v>18</v>
      </c>
      <c r="X10" s="3">
        <f t="shared" si="19"/>
        <v>450</v>
      </c>
      <c r="Y10" s="3">
        <f t="shared" si="19"/>
        <v>0</v>
      </c>
      <c r="Z10" s="3">
        <f t="shared" si="19"/>
        <v>0</v>
      </c>
      <c r="AA10" s="3">
        <f t="shared" si="19"/>
        <v>0.18</v>
      </c>
      <c r="AB10" s="3">
        <f t="shared" si="19"/>
        <v>270</v>
      </c>
      <c r="AC10" s="3">
        <f t="shared" si="19"/>
        <v>18</v>
      </c>
      <c r="AD10" s="3">
        <f t="shared" si="19"/>
        <v>18</v>
      </c>
      <c r="AE10" s="3">
        <f t="shared" si="19"/>
        <v>0</v>
      </c>
      <c r="AF10" s="3">
        <f t="shared" si="19"/>
        <v>0</v>
      </c>
      <c r="AG10" s="3">
        <f t="shared" si="19"/>
        <v>0.18</v>
      </c>
    </row>
    <row r="11" spans="1:34" x14ac:dyDescent="0.2">
      <c r="A11" s="163"/>
      <c r="B11" s="163"/>
      <c r="C11" s="3" t="s">
        <v>64</v>
      </c>
      <c r="D11" s="3">
        <f t="shared" ref="D11:Q11" si="20">$AH$3*D37</f>
        <v>360</v>
      </c>
      <c r="E11" s="3">
        <f t="shared" si="20"/>
        <v>24</v>
      </c>
      <c r="F11" s="3">
        <f t="shared" si="20"/>
        <v>24</v>
      </c>
      <c r="G11" s="3">
        <f t="shared" si="20"/>
        <v>0</v>
      </c>
      <c r="H11" s="3">
        <f t="shared" si="20"/>
        <v>0</v>
      </c>
      <c r="I11" s="3">
        <f t="shared" si="20"/>
        <v>0.24</v>
      </c>
      <c r="J11" s="3">
        <f t="shared" si="20"/>
        <v>360</v>
      </c>
      <c r="K11" s="3">
        <f t="shared" si="20"/>
        <v>600</v>
      </c>
      <c r="L11" s="3">
        <f t="shared" si="20"/>
        <v>0</v>
      </c>
      <c r="M11" s="3">
        <f t="shared" si="20"/>
        <v>0</v>
      </c>
      <c r="N11" s="3">
        <f t="shared" si="20"/>
        <v>0.24</v>
      </c>
      <c r="O11" s="3">
        <f t="shared" si="20"/>
        <v>0.24</v>
      </c>
      <c r="P11" s="3">
        <f t="shared" si="20"/>
        <v>360</v>
      </c>
      <c r="Q11" s="3">
        <f t="shared" si="20"/>
        <v>24</v>
      </c>
      <c r="R11" s="3">
        <f>$AH$3*R37</f>
        <v>600</v>
      </c>
      <c r="S11" s="3">
        <f>$AH$3*S37</f>
        <v>0</v>
      </c>
      <c r="T11" s="3">
        <f t="shared" ref="T11:AG11" si="21">$AH$3*T37</f>
        <v>0</v>
      </c>
      <c r="U11" s="3">
        <f t="shared" si="21"/>
        <v>0.24</v>
      </c>
      <c r="V11" s="3">
        <f t="shared" si="21"/>
        <v>360</v>
      </c>
      <c r="W11" s="3">
        <f t="shared" si="21"/>
        <v>24</v>
      </c>
      <c r="X11" s="3">
        <f t="shared" si="21"/>
        <v>600</v>
      </c>
      <c r="Y11" s="3">
        <f t="shared" si="21"/>
        <v>0</v>
      </c>
      <c r="Z11" s="3">
        <f t="shared" si="21"/>
        <v>0</v>
      </c>
      <c r="AA11" s="3">
        <f t="shared" si="21"/>
        <v>0.24</v>
      </c>
      <c r="AB11" s="3">
        <f t="shared" si="21"/>
        <v>360</v>
      </c>
      <c r="AC11" s="3">
        <f t="shared" si="21"/>
        <v>24</v>
      </c>
      <c r="AD11" s="3">
        <f t="shared" si="21"/>
        <v>24</v>
      </c>
      <c r="AE11" s="3">
        <f t="shared" si="21"/>
        <v>0</v>
      </c>
      <c r="AF11" s="3">
        <f t="shared" si="21"/>
        <v>0</v>
      </c>
      <c r="AG11" s="3">
        <f t="shared" si="21"/>
        <v>0.24</v>
      </c>
    </row>
    <row r="12" spans="1:34" x14ac:dyDescent="0.2">
      <c r="A12" s="163" t="s">
        <v>69</v>
      </c>
      <c r="B12" s="163" t="s">
        <v>65</v>
      </c>
      <c r="C12" s="3" t="s">
        <v>45</v>
      </c>
      <c r="D12" s="3">
        <f t="shared" ref="D12:AG12" si="22">D29*$AH$12</f>
        <v>300</v>
      </c>
      <c r="E12" s="3">
        <f t="shared" si="22"/>
        <v>20</v>
      </c>
      <c r="F12" s="3">
        <f t="shared" si="22"/>
        <v>20</v>
      </c>
      <c r="G12" s="3">
        <f t="shared" si="22"/>
        <v>20</v>
      </c>
      <c r="H12" s="3">
        <f t="shared" si="22"/>
        <v>0</v>
      </c>
      <c r="I12" s="3">
        <f t="shared" si="22"/>
        <v>0</v>
      </c>
      <c r="J12" s="3">
        <f t="shared" si="22"/>
        <v>300</v>
      </c>
      <c r="K12" s="3">
        <f t="shared" si="22"/>
        <v>500</v>
      </c>
      <c r="L12" s="3">
        <f t="shared" si="22"/>
        <v>20</v>
      </c>
      <c r="M12" s="3">
        <f t="shared" si="22"/>
        <v>20</v>
      </c>
      <c r="N12" s="3">
        <f t="shared" si="22"/>
        <v>0</v>
      </c>
      <c r="O12" s="3">
        <f t="shared" si="22"/>
        <v>0</v>
      </c>
      <c r="P12" s="3">
        <f t="shared" si="22"/>
        <v>300</v>
      </c>
      <c r="Q12" s="3">
        <f t="shared" si="22"/>
        <v>20</v>
      </c>
      <c r="R12" s="3">
        <f t="shared" si="22"/>
        <v>500</v>
      </c>
      <c r="S12" s="3">
        <f t="shared" si="22"/>
        <v>20</v>
      </c>
      <c r="T12" s="3">
        <f t="shared" si="22"/>
        <v>0</v>
      </c>
      <c r="U12" s="3">
        <f t="shared" si="22"/>
        <v>0</v>
      </c>
      <c r="V12" s="3">
        <f t="shared" si="22"/>
        <v>300</v>
      </c>
      <c r="W12" s="3">
        <f t="shared" si="22"/>
        <v>20</v>
      </c>
      <c r="X12" s="3">
        <f t="shared" si="22"/>
        <v>500</v>
      </c>
      <c r="Y12" s="3">
        <f t="shared" si="22"/>
        <v>20</v>
      </c>
      <c r="Z12" s="3">
        <f t="shared" si="22"/>
        <v>0</v>
      </c>
      <c r="AA12" s="3">
        <f t="shared" si="22"/>
        <v>0</v>
      </c>
      <c r="AB12" s="3">
        <f t="shared" si="22"/>
        <v>300</v>
      </c>
      <c r="AC12" s="3">
        <f t="shared" si="22"/>
        <v>20</v>
      </c>
      <c r="AD12" s="3">
        <f t="shared" si="22"/>
        <v>20</v>
      </c>
      <c r="AE12" s="3">
        <f t="shared" si="22"/>
        <v>20</v>
      </c>
      <c r="AF12" s="3">
        <f t="shared" si="22"/>
        <v>0</v>
      </c>
      <c r="AG12" s="3">
        <f t="shared" si="22"/>
        <v>0</v>
      </c>
      <c r="AH12">
        <v>10</v>
      </c>
    </row>
    <row r="13" spans="1:34" x14ac:dyDescent="0.2">
      <c r="A13" s="163"/>
      <c r="B13" s="163"/>
      <c r="C13" s="3" t="s">
        <v>46</v>
      </c>
      <c r="D13" s="3">
        <f t="shared" ref="D13:AG13" si="23">D30*$AH$12</f>
        <v>450</v>
      </c>
      <c r="E13" s="3">
        <f t="shared" si="23"/>
        <v>30</v>
      </c>
      <c r="F13" s="3">
        <f t="shared" si="23"/>
        <v>30</v>
      </c>
      <c r="G13" s="3">
        <f t="shared" si="23"/>
        <v>30</v>
      </c>
      <c r="H13" s="3">
        <f t="shared" si="23"/>
        <v>0</v>
      </c>
      <c r="I13" s="3">
        <f t="shared" si="23"/>
        <v>0</v>
      </c>
      <c r="J13" s="3">
        <f t="shared" si="23"/>
        <v>450</v>
      </c>
      <c r="K13" s="3">
        <f t="shared" si="23"/>
        <v>750</v>
      </c>
      <c r="L13" s="3">
        <f t="shared" si="23"/>
        <v>30</v>
      </c>
      <c r="M13" s="3">
        <f t="shared" si="23"/>
        <v>30</v>
      </c>
      <c r="N13" s="3">
        <f t="shared" si="23"/>
        <v>0</v>
      </c>
      <c r="O13" s="3">
        <f t="shared" si="23"/>
        <v>0</v>
      </c>
      <c r="P13" s="3">
        <f t="shared" si="23"/>
        <v>450</v>
      </c>
      <c r="Q13" s="3">
        <f t="shared" si="23"/>
        <v>30</v>
      </c>
      <c r="R13" s="3">
        <f t="shared" si="23"/>
        <v>750</v>
      </c>
      <c r="S13" s="3">
        <f t="shared" si="23"/>
        <v>30</v>
      </c>
      <c r="T13" s="3">
        <f t="shared" si="23"/>
        <v>0</v>
      </c>
      <c r="U13" s="3">
        <f t="shared" si="23"/>
        <v>0</v>
      </c>
      <c r="V13" s="3">
        <f t="shared" si="23"/>
        <v>450</v>
      </c>
      <c r="W13" s="3">
        <f t="shared" si="23"/>
        <v>30</v>
      </c>
      <c r="X13" s="3">
        <f t="shared" si="23"/>
        <v>750</v>
      </c>
      <c r="Y13" s="3">
        <f t="shared" si="23"/>
        <v>30</v>
      </c>
      <c r="Z13" s="3">
        <f t="shared" si="23"/>
        <v>0</v>
      </c>
      <c r="AA13" s="3">
        <f t="shared" si="23"/>
        <v>0</v>
      </c>
      <c r="AB13" s="3">
        <f t="shared" si="23"/>
        <v>450</v>
      </c>
      <c r="AC13" s="3">
        <f t="shared" si="23"/>
        <v>30</v>
      </c>
      <c r="AD13" s="3">
        <f t="shared" si="23"/>
        <v>30</v>
      </c>
      <c r="AE13" s="3">
        <f t="shared" si="23"/>
        <v>30</v>
      </c>
      <c r="AF13" s="3">
        <f t="shared" si="23"/>
        <v>0</v>
      </c>
      <c r="AG13" s="3">
        <f t="shared" si="23"/>
        <v>0</v>
      </c>
    </row>
    <row r="14" spans="1:34" x14ac:dyDescent="0.2">
      <c r="A14" s="163"/>
      <c r="B14" s="163"/>
      <c r="C14" s="3" t="s">
        <v>64</v>
      </c>
      <c r="D14" s="3">
        <f t="shared" ref="D14:Q14" si="24">D31*$AH$12</f>
        <v>600</v>
      </c>
      <c r="E14" s="3">
        <f t="shared" si="24"/>
        <v>40</v>
      </c>
      <c r="F14" s="3">
        <f t="shared" si="24"/>
        <v>40</v>
      </c>
      <c r="G14" s="3">
        <f t="shared" si="24"/>
        <v>40</v>
      </c>
      <c r="H14" s="3">
        <f t="shared" si="24"/>
        <v>0</v>
      </c>
      <c r="I14" s="3">
        <f t="shared" si="24"/>
        <v>0</v>
      </c>
      <c r="J14" s="3">
        <f t="shared" si="24"/>
        <v>600</v>
      </c>
      <c r="K14" s="3">
        <f t="shared" si="24"/>
        <v>1000</v>
      </c>
      <c r="L14" s="3">
        <f t="shared" si="24"/>
        <v>40</v>
      </c>
      <c r="M14" s="3">
        <f t="shared" si="24"/>
        <v>40</v>
      </c>
      <c r="N14" s="3">
        <f t="shared" si="24"/>
        <v>0</v>
      </c>
      <c r="O14" s="3">
        <f t="shared" si="24"/>
        <v>0</v>
      </c>
      <c r="P14" s="3">
        <f t="shared" si="24"/>
        <v>600</v>
      </c>
      <c r="Q14" s="3">
        <f t="shared" si="24"/>
        <v>40</v>
      </c>
      <c r="R14" s="3">
        <f t="shared" ref="R14:S14" si="25">R31*$AH$12</f>
        <v>1000</v>
      </c>
      <c r="S14" s="3">
        <f t="shared" si="25"/>
        <v>40</v>
      </c>
      <c r="T14" s="3">
        <f t="shared" ref="T14:AG14" si="26">T31*$AH$12</f>
        <v>0</v>
      </c>
      <c r="U14" s="3">
        <f t="shared" si="26"/>
        <v>0</v>
      </c>
      <c r="V14" s="3">
        <f t="shared" si="26"/>
        <v>600</v>
      </c>
      <c r="W14" s="3">
        <f t="shared" si="26"/>
        <v>40</v>
      </c>
      <c r="X14" s="3">
        <f t="shared" si="26"/>
        <v>1000</v>
      </c>
      <c r="Y14" s="3">
        <f t="shared" si="26"/>
        <v>40</v>
      </c>
      <c r="Z14" s="3">
        <f t="shared" si="26"/>
        <v>0</v>
      </c>
      <c r="AA14" s="3">
        <f t="shared" si="26"/>
        <v>0</v>
      </c>
      <c r="AB14" s="3">
        <f t="shared" si="26"/>
        <v>600</v>
      </c>
      <c r="AC14" s="3">
        <f t="shared" si="26"/>
        <v>40</v>
      </c>
      <c r="AD14" s="3">
        <f t="shared" si="26"/>
        <v>40</v>
      </c>
      <c r="AE14" s="3">
        <f t="shared" si="26"/>
        <v>40</v>
      </c>
      <c r="AF14" s="3">
        <f t="shared" si="26"/>
        <v>0</v>
      </c>
      <c r="AG14" s="3">
        <f t="shared" si="26"/>
        <v>0</v>
      </c>
    </row>
    <row r="15" spans="1:34" x14ac:dyDescent="0.2">
      <c r="A15" s="163"/>
      <c r="B15" s="163" t="s">
        <v>66</v>
      </c>
      <c r="C15" s="3" t="s">
        <v>45</v>
      </c>
      <c r="D15" s="3">
        <f t="shared" ref="D15:Q15" si="27">D32*$AH$12</f>
        <v>300</v>
      </c>
      <c r="E15" s="3">
        <f t="shared" si="27"/>
        <v>20</v>
      </c>
      <c r="F15" s="3">
        <f t="shared" si="27"/>
        <v>20</v>
      </c>
      <c r="G15" s="3">
        <f t="shared" si="27"/>
        <v>0</v>
      </c>
      <c r="H15" s="3">
        <f t="shared" si="27"/>
        <v>20</v>
      </c>
      <c r="I15" s="3">
        <f t="shared" si="27"/>
        <v>0</v>
      </c>
      <c r="J15" s="3">
        <f t="shared" si="27"/>
        <v>300</v>
      </c>
      <c r="K15" s="3">
        <f t="shared" si="27"/>
        <v>500</v>
      </c>
      <c r="L15" s="3">
        <f t="shared" si="27"/>
        <v>0</v>
      </c>
      <c r="M15" s="3">
        <f t="shared" si="27"/>
        <v>20</v>
      </c>
      <c r="N15" s="3">
        <f t="shared" si="27"/>
        <v>0</v>
      </c>
      <c r="O15" s="3">
        <f t="shared" si="27"/>
        <v>0.2</v>
      </c>
      <c r="P15" s="3">
        <f t="shared" si="27"/>
        <v>300</v>
      </c>
      <c r="Q15" s="3">
        <f t="shared" si="27"/>
        <v>20</v>
      </c>
      <c r="R15" s="3">
        <f t="shared" ref="R15:S15" si="28">R32*$AH$12</f>
        <v>500</v>
      </c>
      <c r="S15" s="3">
        <f t="shared" si="28"/>
        <v>0</v>
      </c>
      <c r="T15" s="3">
        <f t="shared" ref="T15:AG15" si="29">T32*$AH$12</f>
        <v>0.2</v>
      </c>
      <c r="U15" s="3">
        <f t="shared" si="29"/>
        <v>0</v>
      </c>
      <c r="V15" s="3">
        <f t="shared" si="29"/>
        <v>300</v>
      </c>
      <c r="W15" s="3">
        <f t="shared" si="29"/>
        <v>20</v>
      </c>
      <c r="X15" s="3">
        <f t="shared" si="29"/>
        <v>500</v>
      </c>
      <c r="Y15" s="3">
        <f t="shared" si="29"/>
        <v>0</v>
      </c>
      <c r="Z15" s="3">
        <f t="shared" si="29"/>
        <v>0.2</v>
      </c>
      <c r="AA15" s="3">
        <f t="shared" si="29"/>
        <v>0</v>
      </c>
      <c r="AB15" s="3">
        <f t="shared" si="29"/>
        <v>300</v>
      </c>
      <c r="AC15" s="3">
        <f t="shared" si="29"/>
        <v>20</v>
      </c>
      <c r="AD15" s="3">
        <f t="shared" si="29"/>
        <v>20</v>
      </c>
      <c r="AE15" s="3">
        <f t="shared" si="29"/>
        <v>0</v>
      </c>
      <c r="AF15" s="3">
        <f t="shared" si="29"/>
        <v>20</v>
      </c>
      <c r="AG15" s="3">
        <f t="shared" si="29"/>
        <v>0</v>
      </c>
    </row>
    <row r="16" spans="1:34" x14ac:dyDescent="0.2">
      <c r="A16" s="163"/>
      <c r="B16" s="163"/>
      <c r="C16" s="3" t="s">
        <v>46</v>
      </c>
      <c r="D16" s="3">
        <f t="shared" ref="D16:Q16" si="30">D33*$AH$12</f>
        <v>450</v>
      </c>
      <c r="E16" s="3">
        <f t="shared" si="30"/>
        <v>30</v>
      </c>
      <c r="F16" s="3">
        <f t="shared" si="30"/>
        <v>30</v>
      </c>
      <c r="G16" s="3">
        <f t="shared" si="30"/>
        <v>0</v>
      </c>
      <c r="H16" s="3">
        <f t="shared" si="30"/>
        <v>30</v>
      </c>
      <c r="I16" s="3">
        <f t="shared" si="30"/>
        <v>0</v>
      </c>
      <c r="J16" s="3">
        <f t="shared" si="30"/>
        <v>450</v>
      </c>
      <c r="K16" s="3">
        <f t="shared" si="30"/>
        <v>750</v>
      </c>
      <c r="L16" s="3">
        <f t="shared" si="30"/>
        <v>0</v>
      </c>
      <c r="M16" s="3">
        <f t="shared" si="30"/>
        <v>30</v>
      </c>
      <c r="N16" s="3">
        <f t="shared" si="30"/>
        <v>0</v>
      </c>
      <c r="O16" s="3">
        <f t="shared" si="30"/>
        <v>0.3</v>
      </c>
      <c r="P16" s="3">
        <f t="shared" si="30"/>
        <v>450</v>
      </c>
      <c r="Q16" s="3">
        <f t="shared" si="30"/>
        <v>30</v>
      </c>
      <c r="R16" s="3">
        <f t="shared" ref="R16:S16" si="31">R33*$AH$12</f>
        <v>750</v>
      </c>
      <c r="S16" s="3">
        <f t="shared" si="31"/>
        <v>0</v>
      </c>
      <c r="T16" s="3">
        <f t="shared" ref="T16:AG16" si="32">T33*$AH$12</f>
        <v>0.3</v>
      </c>
      <c r="U16" s="3">
        <f t="shared" si="32"/>
        <v>0</v>
      </c>
      <c r="V16" s="3">
        <f t="shared" si="32"/>
        <v>450</v>
      </c>
      <c r="W16" s="3">
        <f t="shared" si="32"/>
        <v>30</v>
      </c>
      <c r="X16" s="3">
        <f t="shared" si="32"/>
        <v>750</v>
      </c>
      <c r="Y16" s="3">
        <f t="shared" si="32"/>
        <v>0</v>
      </c>
      <c r="Z16" s="3">
        <f t="shared" si="32"/>
        <v>0.3</v>
      </c>
      <c r="AA16" s="3">
        <f t="shared" si="32"/>
        <v>0</v>
      </c>
      <c r="AB16" s="3">
        <f t="shared" si="32"/>
        <v>450</v>
      </c>
      <c r="AC16" s="3">
        <f t="shared" si="32"/>
        <v>30</v>
      </c>
      <c r="AD16" s="3">
        <f t="shared" si="32"/>
        <v>30</v>
      </c>
      <c r="AE16" s="3">
        <f t="shared" si="32"/>
        <v>0</v>
      </c>
      <c r="AF16" s="3">
        <f t="shared" si="32"/>
        <v>30</v>
      </c>
      <c r="AG16" s="3">
        <f t="shared" si="32"/>
        <v>0</v>
      </c>
    </row>
    <row r="17" spans="1:34" x14ac:dyDescent="0.2">
      <c r="A17" s="163"/>
      <c r="B17" s="163"/>
      <c r="C17" s="3" t="s">
        <v>64</v>
      </c>
      <c r="D17" s="3">
        <f t="shared" ref="D17:Q17" si="33">D34*$AH$12</f>
        <v>600</v>
      </c>
      <c r="E17" s="3">
        <f t="shared" si="33"/>
        <v>40</v>
      </c>
      <c r="F17" s="3">
        <f t="shared" si="33"/>
        <v>40</v>
      </c>
      <c r="G17" s="3">
        <f t="shared" si="33"/>
        <v>0</v>
      </c>
      <c r="H17" s="3">
        <f t="shared" si="33"/>
        <v>40</v>
      </c>
      <c r="I17" s="3">
        <f t="shared" si="33"/>
        <v>0</v>
      </c>
      <c r="J17" s="3">
        <f t="shared" si="33"/>
        <v>600</v>
      </c>
      <c r="K17" s="3">
        <f t="shared" si="33"/>
        <v>1000</v>
      </c>
      <c r="L17" s="3">
        <f t="shared" si="33"/>
        <v>0</v>
      </c>
      <c r="M17" s="3">
        <f t="shared" si="33"/>
        <v>40</v>
      </c>
      <c r="N17" s="3">
        <f t="shared" si="33"/>
        <v>0</v>
      </c>
      <c r="O17" s="3">
        <f t="shared" si="33"/>
        <v>0.4</v>
      </c>
      <c r="P17" s="3">
        <f t="shared" si="33"/>
        <v>600</v>
      </c>
      <c r="Q17" s="3">
        <f t="shared" si="33"/>
        <v>40</v>
      </c>
      <c r="R17" s="3">
        <f t="shared" ref="R17:S17" si="34">R34*$AH$12</f>
        <v>1000</v>
      </c>
      <c r="S17" s="3">
        <f t="shared" si="34"/>
        <v>0</v>
      </c>
      <c r="T17" s="3">
        <f t="shared" ref="T17:AG17" si="35">T34*$AH$12</f>
        <v>0.4</v>
      </c>
      <c r="U17" s="3">
        <f t="shared" si="35"/>
        <v>0</v>
      </c>
      <c r="V17" s="3">
        <f t="shared" si="35"/>
        <v>600</v>
      </c>
      <c r="W17" s="3">
        <f t="shared" si="35"/>
        <v>40</v>
      </c>
      <c r="X17" s="3">
        <f t="shared" si="35"/>
        <v>1000</v>
      </c>
      <c r="Y17" s="3">
        <f t="shared" si="35"/>
        <v>0</v>
      </c>
      <c r="Z17" s="3">
        <f t="shared" si="35"/>
        <v>0.4</v>
      </c>
      <c r="AA17" s="3">
        <f t="shared" si="35"/>
        <v>0</v>
      </c>
      <c r="AB17" s="3">
        <f t="shared" si="35"/>
        <v>600</v>
      </c>
      <c r="AC17" s="3">
        <f t="shared" si="35"/>
        <v>40</v>
      </c>
      <c r="AD17" s="3">
        <f t="shared" si="35"/>
        <v>40</v>
      </c>
      <c r="AE17" s="3">
        <f t="shared" si="35"/>
        <v>0</v>
      </c>
      <c r="AF17" s="3">
        <f t="shared" si="35"/>
        <v>40</v>
      </c>
      <c r="AG17" s="3">
        <f t="shared" si="35"/>
        <v>0</v>
      </c>
    </row>
    <row r="18" spans="1:34" x14ac:dyDescent="0.2">
      <c r="A18" s="163"/>
      <c r="B18" s="163" t="s">
        <v>67</v>
      </c>
      <c r="C18" s="3" t="s">
        <v>45</v>
      </c>
      <c r="D18" s="3">
        <f t="shared" ref="D18:Q18" si="36">D35*$AH$12</f>
        <v>300</v>
      </c>
      <c r="E18" s="3">
        <f t="shared" si="36"/>
        <v>20</v>
      </c>
      <c r="F18" s="3">
        <f t="shared" si="36"/>
        <v>20</v>
      </c>
      <c r="G18" s="3">
        <f t="shared" si="36"/>
        <v>0</v>
      </c>
      <c r="H18" s="3">
        <f t="shared" si="36"/>
        <v>0</v>
      </c>
      <c r="I18" s="3">
        <f t="shared" si="36"/>
        <v>0.2</v>
      </c>
      <c r="J18" s="3">
        <f t="shared" si="36"/>
        <v>300</v>
      </c>
      <c r="K18" s="3">
        <f t="shared" si="36"/>
        <v>500</v>
      </c>
      <c r="L18" s="3">
        <f t="shared" si="36"/>
        <v>0</v>
      </c>
      <c r="M18" s="3">
        <f t="shared" si="36"/>
        <v>0</v>
      </c>
      <c r="N18" s="3">
        <f t="shared" si="36"/>
        <v>0.2</v>
      </c>
      <c r="O18" s="3">
        <f t="shared" si="36"/>
        <v>0.2</v>
      </c>
      <c r="P18" s="3">
        <f t="shared" si="36"/>
        <v>300</v>
      </c>
      <c r="Q18" s="3">
        <f t="shared" si="36"/>
        <v>20</v>
      </c>
      <c r="R18" s="3">
        <f t="shared" ref="R18:S18" si="37">R35*$AH$12</f>
        <v>500</v>
      </c>
      <c r="S18" s="3">
        <f t="shared" si="37"/>
        <v>0</v>
      </c>
      <c r="T18" s="3">
        <f t="shared" ref="T18:AG18" si="38">T35*$AH$12</f>
        <v>0</v>
      </c>
      <c r="U18" s="3">
        <f t="shared" si="38"/>
        <v>0.2</v>
      </c>
      <c r="V18" s="3">
        <f t="shared" si="38"/>
        <v>300</v>
      </c>
      <c r="W18" s="3">
        <f t="shared" si="38"/>
        <v>20</v>
      </c>
      <c r="X18" s="3">
        <f t="shared" si="38"/>
        <v>500</v>
      </c>
      <c r="Y18" s="3">
        <f t="shared" si="38"/>
        <v>0</v>
      </c>
      <c r="Z18" s="3">
        <f t="shared" si="38"/>
        <v>0</v>
      </c>
      <c r="AA18" s="3">
        <f t="shared" si="38"/>
        <v>0.2</v>
      </c>
      <c r="AB18" s="3">
        <f t="shared" si="38"/>
        <v>300</v>
      </c>
      <c r="AC18" s="3">
        <f t="shared" si="38"/>
        <v>20</v>
      </c>
      <c r="AD18" s="3">
        <f t="shared" si="38"/>
        <v>20</v>
      </c>
      <c r="AE18" s="3">
        <f t="shared" si="38"/>
        <v>0</v>
      </c>
      <c r="AF18" s="3">
        <f t="shared" si="38"/>
        <v>0</v>
      </c>
      <c r="AG18" s="3">
        <f t="shared" si="38"/>
        <v>0.2</v>
      </c>
    </row>
    <row r="19" spans="1:34" x14ac:dyDescent="0.2">
      <c r="A19" s="163"/>
      <c r="B19" s="163"/>
      <c r="C19" s="3" t="s">
        <v>46</v>
      </c>
      <c r="D19" s="3">
        <f t="shared" ref="D19:Q19" si="39">D36*$AH$12</f>
        <v>450</v>
      </c>
      <c r="E19" s="3">
        <f t="shared" si="39"/>
        <v>30</v>
      </c>
      <c r="F19" s="3">
        <f t="shared" si="39"/>
        <v>30</v>
      </c>
      <c r="G19" s="3">
        <f t="shared" si="39"/>
        <v>0</v>
      </c>
      <c r="H19" s="3">
        <f t="shared" si="39"/>
        <v>0</v>
      </c>
      <c r="I19" s="3">
        <f t="shared" si="39"/>
        <v>0.3</v>
      </c>
      <c r="J19" s="3">
        <f t="shared" si="39"/>
        <v>450</v>
      </c>
      <c r="K19" s="3">
        <f t="shared" si="39"/>
        <v>750</v>
      </c>
      <c r="L19" s="3">
        <f t="shared" si="39"/>
        <v>0</v>
      </c>
      <c r="M19" s="3">
        <f t="shared" si="39"/>
        <v>0</v>
      </c>
      <c r="N19" s="3">
        <f t="shared" si="39"/>
        <v>0.3</v>
      </c>
      <c r="O19" s="3">
        <f t="shared" si="39"/>
        <v>0.3</v>
      </c>
      <c r="P19" s="3">
        <f t="shared" si="39"/>
        <v>450</v>
      </c>
      <c r="Q19" s="3">
        <f t="shared" si="39"/>
        <v>30</v>
      </c>
      <c r="R19" s="3">
        <f t="shared" ref="R19:S19" si="40">R36*$AH$12</f>
        <v>750</v>
      </c>
      <c r="S19" s="3">
        <f t="shared" si="40"/>
        <v>0</v>
      </c>
      <c r="T19" s="3">
        <f t="shared" ref="T19:AG19" si="41">T36*$AH$12</f>
        <v>0</v>
      </c>
      <c r="U19" s="3">
        <f t="shared" si="41"/>
        <v>0.3</v>
      </c>
      <c r="V19" s="3">
        <f t="shared" si="41"/>
        <v>450</v>
      </c>
      <c r="W19" s="3">
        <f t="shared" si="41"/>
        <v>30</v>
      </c>
      <c r="X19" s="3">
        <f t="shared" si="41"/>
        <v>750</v>
      </c>
      <c r="Y19" s="3">
        <f t="shared" si="41"/>
        <v>0</v>
      </c>
      <c r="Z19" s="3">
        <f t="shared" si="41"/>
        <v>0</v>
      </c>
      <c r="AA19" s="3">
        <f t="shared" si="41"/>
        <v>0.3</v>
      </c>
      <c r="AB19" s="3">
        <f t="shared" si="41"/>
        <v>450</v>
      </c>
      <c r="AC19" s="3">
        <f t="shared" si="41"/>
        <v>30</v>
      </c>
      <c r="AD19" s="3">
        <f t="shared" si="41"/>
        <v>30</v>
      </c>
      <c r="AE19" s="3">
        <f t="shared" si="41"/>
        <v>0</v>
      </c>
      <c r="AF19" s="3">
        <f t="shared" si="41"/>
        <v>0</v>
      </c>
      <c r="AG19" s="3">
        <f t="shared" si="41"/>
        <v>0.3</v>
      </c>
    </row>
    <row r="20" spans="1:34" x14ac:dyDescent="0.2">
      <c r="A20" s="163"/>
      <c r="B20" s="163"/>
      <c r="C20" s="3" t="s">
        <v>64</v>
      </c>
      <c r="D20" s="3">
        <f t="shared" ref="D20:Q20" si="42">D37*$AH$12</f>
        <v>600</v>
      </c>
      <c r="E20" s="3">
        <f t="shared" si="42"/>
        <v>40</v>
      </c>
      <c r="F20" s="3">
        <f t="shared" si="42"/>
        <v>40</v>
      </c>
      <c r="G20" s="3">
        <f t="shared" si="42"/>
        <v>0</v>
      </c>
      <c r="H20" s="3">
        <f t="shared" si="42"/>
        <v>0</v>
      </c>
      <c r="I20" s="3">
        <f t="shared" si="42"/>
        <v>0.4</v>
      </c>
      <c r="J20" s="3">
        <f t="shared" si="42"/>
        <v>600</v>
      </c>
      <c r="K20" s="3">
        <f t="shared" si="42"/>
        <v>1000</v>
      </c>
      <c r="L20" s="3">
        <f t="shared" si="42"/>
        <v>0</v>
      </c>
      <c r="M20" s="3">
        <f t="shared" si="42"/>
        <v>0</v>
      </c>
      <c r="N20" s="3">
        <f t="shared" si="42"/>
        <v>0.4</v>
      </c>
      <c r="O20" s="3">
        <f t="shared" si="42"/>
        <v>0.4</v>
      </c>
      <c r="P20" s="3">
        <f t="shared" si="42"/>
        <v>600</v>
      </c>
      <c r="Q20" s="3">
        <f t="shared" si="42"/>
        <v>40</v>
      </c>
      <c r="R20" s="3">
        <f t="shared" ref="R20:S20" si="43">R37*$AH$12</f>
        <v>1000</v>
      </c>
      <c r="S20" s="3">
        <f t="shared" si="43"/>
        <v>0</v>
      </c>
      <c r="T20" s="3">
        <f t="shared" ref="T20:AG20" si="44">T37*$AH$12</f>
        <v>0</v>
      </c>
      <c r="U20" s="3">
        <f t="shared" si="44"/>
        <v>0.4</v>
      </c>
      <c r="V20" s="3">
        <f t="shared" si="44"/>
        <v>600</v>
      </c>
      <c r="W20" s="3">
        <f t="shared" si="44"/>
        <v>40</v>
      </c>
      <c r="X20" s="3">
        <f t="shared" si="44"/>
        <v>1000</v>
      </c>
      <c r="Y20" s="3">
        <f t="shared" si="44"/>
        <v>0</v>
      </c>
      <c r="Z20" s="3">
        <f t="shared" si="44"/>
        <v>0</v>
      </c>
      <c r="AA20" s="3">
        <f t="shared" si="44"/>
        <v>0.4</v>
      </c>
      <c r="AB20" s="3">
        <f t="shared" si="44"/>
        <v>600</v>
      </c>
      <c r="AC20" s="3">
        <f t="shared" si="44"/>
        <v>40</v>
      </c>
      <c r="AD20" s="3">
        <f t="shared" si="44"/>
        <v>40</v>
      </c>
      <c r="AE20" s="3">
        <f t="shared" si="44"/>
        <v>0</v>
      </c>
      <c r="AF20" s="3">
        <f t="shared" si="44"/>
        <v>0</v>
      </c>
      <c r="AG20" s="3">
        <f t="shared" si="44"/>
        <v>0.4</v>
      </c>
    </row>
    <row r="26" spans="1:34" x14ac:dyDescent="0.2">
      <c r="B26" t="s">
        <v>71</v>
      </c>
    </row>
    <row r="27" spans="1:34" x14ac:dyDescent="0.2">
      <c r="B27" s="2"/>
      <c r="C27" s="2"/>
      <c r="D27" s="164" t="s">
        <v>58</v>
      </c>
      <c r="E27" s="165"/>
      <c r="F27" s="165"/>
      <c r="G27" s="165"/>
      <c r="H27" s="165"/>
      <c r="I27" s="166"/>
      <c r="J27" s="167" t="s">
        <v>59</v>
      </c>
      <c r="K27" s="168"/>
      <c r="L27" s="168"/>
      <c r="M27" s="168"/>
      <c r="N27" s="168"/>
      <c r="O27" s="169"/>
      <c r="P27" s="170" t="s">
        <v>60</v>
      </c>
      <c r="Q27" s="171"/>
      <c r="R27" s="171"/>
      <c r="S27" s="171"/>
      <c r="T27" s="171"/>
      <c r="U27" s="172"/>
      <c r="V27" s="173" t="s">
        <v>61</v>
      </c>
      <c r="W27" s="174"/>
      <c r="X27" s="174"/>
      <c r="Y27" s="174"/>
      <c r="Z27" s="174"/>
      <c r="AA27" s="175"/>
      <c r="AB27" s="176" t="s">
        <v>62</v>
      </c>
      <c r="AC27" s="177"/>
      <c r="AD27" s="177"/>
      <c r="AE27" s="177"/>
      <c r="AF27" s="177"/>
      <c r="AG27" s="177"/>
    </row>
    <row r="28" spans="1:34" x14ac:dyDescent="0.2">
      <c r="B28" s="5" t="s">
        <v>63</v>
      </c>
      <c r="C28" s="5" t="s">
        <v>42</v>
      </c>
      <c r="D28" s="5" t="s">
        <v>73</v>
      </c>
      <c r="E28" s="5" t="s">
        <v>1</v>
      </c>
      <c r="F28" s="5" t="s">
        <v>2</v>
      </c>
      <c r="G28" s="5" t="s">
        <v>4</v>
      </c>
      <c r="H28" s="28" t="s">
        <v>20</v>
      </c>
      <c r="I28" s="5" t="s">
        <v>6</v>
      </c>
      <c r="J28" s="5" t="s">
        <v>19</v>
      </c>
      <c r="K28" s="5" t="s">
        <v>3</v>
      </c>
      <c r="L28" s="5" t="s">
        <v>4</v>
      </c>
      <c r="M28" s="28" t="s">
        <v>20</v>
      </c>
      <c r="N28" s="5" t="s">
        <v>6</v>
      </c>
      <c r="O28" s="5" t="s">
        <v>7</v>
      </c>
      <c r="P28" s="27" t="s">
        <v>19</v>
      </c>
      <c r="Q28" s="5" t="s">
        <v>1</v>
      </c>
      <c r="R28" s="5" t="s">
        <v>3</v>
      </c>
      <c r="S28" s="5" t="s">
        <v>4</v>
      </c>
      <c r="T28" s="5" t="s">
        <v>7</v>
      </c>
      <c r="U28" s="5" t="s">
        <v>6</v>
      </c>
      <c r="V28" s="27" t="s">
        <v>19</v>
      </c>
      <c r="W28" s="5" t="s">
        <v>2</v>
      </c>
      <c r="X28" s="5" t="s">
        <v>3</v>
      </c>
      <c r="Y28" s="5" t="s">
        <v>4</v>
      </c>
      <c r="Z28" s="5" t="s">
        <v>7</v>
      </c>
      <c r="AA28" s="5" t="s">
        <v>6</v>
      </c>
      <c r="AB28" s="27" t="s">
        <v>19</v>
      </c>
      <c r="AC28" s="5" t="s">
        <v>1</v>
      </c>
      <c r="AD28" s="5" t="s">
        <v>2</v>
      </c>
      <c r="AE28" s="26" t="s">
        <v>4</v>
      </c>
      <c r="AF28" s="28" t="s">
        <v>20</v>
      </c>
      <c r="AG28" s="5" t="s">
        <v>6</v>
      </c>
      <c r="AH28" s="27" t="s">
        <v>72</v>
      </c>
    </row>
    <row r="29" spans="1:34" x14ac:dyDescent="0.2">
      <c r="B29" s="163" t="s">
        <v>65</v>
      </c>
      <c r="C29" s="3" t="s">
        <v>45</v>
      </c>
      <c r="D29" s="3">
        <f>VLOOKUP(E$28,战力关系!$A$2:$B$10,2,FALSE)*E29+VLOOKUP(F$28,战力关系!$A$2:$B$10,2,FALSE)*F29+VLOOKUP(H$28,战力关系!$A$2:$B$10,2,FALSE)*H29+VLOOKUP(I$28,战力关系!$A$2:$B$10,2,FALSE)*I29+G29*战力关系!$B$5</f>
        <v>30</v>
      </c>
      <c r="E29" s="2">
        <v>2</v>
      </c>
      <c r="F29" s="2">
        <v>2</v>
      </c>
      <c r="G29" s="2">
        <v>2</v>
      </c>
      <c r="H29" s="2"/>
      <c r="I29" s="2"/>
      <c r="J29" s="3">
        <f>VLOOKUP(K$28,战力关系!$A$2:$B$10,2,FALSE)*K29+VLOOKUP(L$28,战力关系!$A$2:$B$10,2,FALSE)*L29+VLOOKUP(M$28,战力关系!$A$2:$B$10,2,FALSE)*M29+VLOOKUP(N$28,战力关系!$A$2:$B$10,2,FALSE)*N29+VLOOKUP(O$28,战力关系!$A$2:$B$10,2,FALSE)*O29</f>
        <v>30</v>
      </c>
      <c r="K29" s="2">
        <v>50</v>
      </c>
      <c r="L29" s="2">
        <v>2</v>
      </c>
      <c r="M29" s="2">
        <v>2</v>
      </c>
      <c r="N29" s="2"/>
      <c r="O29" s="2"/>
      <c r="P29" s="3">
        <f>VLOOKUP(Q$28,战力关系!$A$2:$B$10,2,FALSE)*Q29+VLOOKUP(R$28,战力关系!$A$2:$B$10,2,FALSE)*R29+VLOOKUP(T$28,战力关系!$A$2:$B$10,2,FALSE)*T29+VLOOKUP(U$28,战力关系!$A$2:$B$10,2,FALSE)*U29+S29*战力关系!$B$5</f>
        <v>30</v>
      </c>
      <c r="Q29" s="2">
        <v>2</v>
      </c>
      <c r="R29" s="2">
        <v>50</v>
      </c>
      <c r="S29" s="2">
        <v>2</v>
      </c>
      <c r="T29" s="2"/>
      <c r="U29" s="2"/>
      <c r="V29" s="3">
        <f>VLOOKUP(W$28,战力关系!$A$2:$B$10,2,FALSE)*W29+VLOOKUP(X$28,战力关系!$A$2:$B$10,2,FALSE)*X29+VLOOKUP(Y$28,战力关系!$A$2:$B$10,2,FALSE)*Y29+VLOOKUP(Z$28,战力关系!$A$2:$B$10,2,FALSE)*Z29+VLOOKUP(AA$28,战力关系!$A$2:$B$10,2,FALSE)*AA29</f>
        <v>30</v>
      </c>
      <c r="W29" s="2">
        <v>2</v>
      </c>
      <c r="X29" s="2">
        <v>50</v>
      </c>
      <c r="Y29" s="2">
        <v>2</v>
      </c>
      <c r="Z29" s="2"/>
      <c r="AA29" s="2"/>
      <c r="AB29" s="3">
        <f>VLOOKUP(AC$28,战力关系!$A$2:$B$10,2,FALSE)*AC29+VLOOKUP(AD$28,战力关系!$A$2:$B$10,2,FALSE)*AD29+VLOOKUP(AE$28,战力关系!$A$2:$B$10,2,FALSE)*AE29+VLOOKUP(AF$28,战力关系!$A$2:$B$10,2,FALSE)*AF29+VLOOKUP(AG$28,战力关系!$A$2:$B$10,2,FALSE)*AG29</f>
        <v>30</v>
      </c>
      <c r="AC29" s="2">
        <v>2</v>
      </c>
      <c r="AD29" s="2">
        <v>2</v>
      </c>
      <c r="AE29" s="2">
        <v>2</v>
      </c>
      <c r="AF29" s="2"/>
      <c r="AG29" s="2"/>
      <c r="AH29" s="2">
        <v>1</v>
      </c>
    </row>
    <row r="30" spans="1:34" x14ac:dyDescent="0.2">
      <c r="B30" s="163"/>
      <c r="C30" s="3" t="s">
        <v>46</v>
      </c>
      <c r="D30" s="3">
        <f>VLOOKUP(E$28,战力关系!$A$2:$B$10,2,FALSE)*E30+VLOOKUP(F$28,战力关系!$A$2:$B$10,2,FALSE)*F30+VLOOKUP(H$28,战力关系!$A$2:$B$10,2,FALSE)*H30+VLOOKUP(I$28,战力关系!$A$2:$B$10,2,FALSE)*I30+G30*战力关系!$B$5</f>
        <v>45</v>
      </c>
      <c r="E30" s="2">
        <f>E29*$AH$30</f>
        <v>3</v>
      </c>
      <c r="F30" s="2">
        <f>F29*$AH$30</f>
        <v>3</v>
      </c>
      <c r="G30" s="2">
        <f>G29*$AH$30</f>
        <v>3</v>
      </c>
      <c r="H30" s="2">
        <f>H29*$AH$30</f>
        <v>0</v>
      </c>
      <c r="I30" s="2">
        <f>I29*$AH$30</f>
        <v>0</v>
      </c>
      <c r="J30" s="3">
        <f>VLOOKUP(K$28,战力关系!$A$2:$B$10,2,FALSE)*K30+VLOOKUP(L$28,战力关系!$A$2:$B$10,2,FALSE)*L30+VLOOKUP(M$28,战力关系!$A$2:$B$10,2,FALSE)*M30+VLOOKUP(N$28,战力关系!$A$2:$B$10,2,FALSE)*N30+VLOOKUP(O$28,战力关系!$A$2:$B$10,2,FALSE)*O30</f>
        <v>45</v>
      </c>
      <c r="K30" s="2">
        <f>K29*$AH$30</f>
        <v>75</v>
      </c>
      <c r="L30" s="2">
        <f>L29*$AH$30</f>
        <v>3</v>
      </c>
      <c r="M30" s="2">
        <f>M29*$AH$30</f>
        <v>3</v>
      </c>
      <c r="N30" s="2">
        <f>N29*$AH$30</f>
        <v>0</v>
      </c>
      <c r="O30" s="2">
        <f>O29*$AH$30</f>
        <v>0</v>
      </c>
      <c r="P30" s="3">
        <f>VLOOKUP(Q$28,战力关系!$A$2:$B$10,2,FALSE)*Q30+VLOOKUP(R$28,战力关系!$A$2:$B$10,2,FALSE)*R30+VLOOKUP(T$28,战力关系!$A$2:$B$10,2,FALSE)*T30+VLOOKUP(U$28,战力关系!$A$2:$B$10,2,FALSE)*U30+S30*战力关系!$B$5</f>
        <v>45</v>
      </c>
      <c r="Q30" s="2">
        <f t="shared" ref="Q30" si="45">Q29*$AH$30</f>
        <v>3</v>
      </c>
      <c r="R30" s="2">
        <f>R29*$AH$30</f>
        <v>75</v>
      </c>
      <c r="S30" s="2">
        <f t="shared" ref="S30" si="46">S29*$AH$30</f>
        <v>3</v>
      </c>
      <c r="T30" s="2">
        <f>T29*$AH$30</f>
        <v>0</v>
      </c>
      <c r="U30" s="2">
        <f>U29*$AH$30</f>
        <v>0</v>
      </c>
      <c r="V30" s="3">
        <f>VLOOKUP(W$28,战力关系!$A$2:$B$10,2,FALSE)*W30+VLOOKUP(X$28,战力关系!$A$2:$B$10,2,FALSE)*X30+VLOOKUP(Y$28,战力关系!$A$2:$B$10,2,FALSE)*Y30+VLOOKUP(Z$28,战力关系!$A$2:$B$10,2,FALSE)*Z30+VLOOKUP(AA$28,战力关系!$A$2:$B$10,2,FALSE)*AA30</f>
        <v>45</v>
      </c>
      <c r="W30" s="2">
        <f>W29*$AH$30</f>
        <v>3</v>
      </c>
      <c r="X30" s="2">
        <f>X29*$AH$30</f>
        <v>75</v>
      </c>
      <c r="Y30" s="2">
        <f>Y29*$AH$30</f>
        <v>3</v>
      </c>
      <c r="Z30" s="2">
        <f>Z29*$AH$30</f>
        <v>0</v>
      </c>
      <c r="AA30" s="2">
        <f>AA29*$AH$30</f>
        <v>0</v>
      </c>
      <c r="AB30" s="3">
        <f>VLOOKUP(AC$28,战力关系!$A$2:$B$10,2,FALSE)*AC30+VLOOKUP(AD$28,战力关系!$A$2:$B$10,2,FALSE)*AD30+VLOOKUP(AE$28,战力关系!$A$2:$B$10,2,FALSE)*AE30+VLOOKUP(AF$28,战力关系!$A$2:$B$10,2,FALSE)*AF30+VLOOKUP(AG$28,战力关系!$A$2:$B$10,2,FALSE)*AG30</f>
        <v>45</v>
      </c>
      <c r="AC30" s="2">
        <f>AC29*$AH$30</f>
        <v>3</v>
      </c>
      <c r="AD30" s="2">
        <f>AD29*$AH$30</f>
        <v>3</v>
      </c>
      <c r="AE30" s="2">
        <f>AE29*$AH$30</f>
        <v>3</v>
      </c>
      <c r="AF30" s="2">
        <f>AF29*$AH$30</f>
        <v>0</v>
      </c>
      <c r="AG30" s="2">
        <f>AG29*$AH$30</f>
        <v>0</v>
      </c>
      <c r="AH30" s="2">
        <v>1.5</v>
      </c>
    </row>
    <row r="31" spans="1:34" x14ac:dyDescent="0.2">
      <c r="B31" s="163"/>
      <c r="C31" s="3" t="s">
        <v>64</v>
      </c>
      <c r="D31" s="3">
        <f>VLOOKUP(E$28,战力关系!$A$2:$B$10,2,FALSE)*E31+VLOOKUP(F$28,战力关系!$A$2:$B$10,2,FALSE)*F31+VLOOKUP(H$28,战力关系!$A$2:$B$10,2,FALSE)*H31+VLOOKUP(I$28,战力关系!$A$2:$B$10,2,FALSE)*I31+G31*战力关系!$B$5</f>
        <v>60</v>
      </c>
      <c r="E31" s="2">
        <f>E29*$AH$31</f>
        <v>4</v>
      </c>
      <c r="F31" s="2">
        <f>F29*$AH$31</f>
        <v>4</v>
      </c>
      <c r="G31" s="2">
        <f>G29*$AH$31</f>
        <v>4</v>
      </c>
      <c r="H31" s="2">
        <f>H29*$AH$31</f>
        <v>0</v>
      </c>
      <c r="I31" s="2">
        <f>I29*$AH$31</f>
        <v>0</v>
      </c>
      <c r="J31" s="3">
        <f>VLOOKUP(K$28,战力关系!$A$2:$B$10,2,FALSE)*K31+VLOOKUP(L$28,战力关系!$A$2:$B$10,2,FALSE)*L31+VLOOKUP(M$28,战力关系!$A$2:$B$10,2,FALSE)*M31+VLOOKUP(N$28,战力关系!$A$2:$B$10,2,FALSE)*N31+VLOOKUP(O$28,战力关系!$A$2:$B$10,2,FALSE)*O31</f>
        <v>60</v>
      </c>
      <c r="K31" s="2">
        <f>K29*$AH$31</f>
        <v>100</v>
      </c>
      <c r="L31" s="2">
        <f>L29*$AH$31</f>
        <v>4</v>
      </c>
      <c r="M31" s="2">
        <f>M29*$AH$31</f>
        <v>4</v>
      </c>
      <c r="N31" s="2">
        <f>N29*$AH$31</f>
        <v>0</v>
      </c>
      <c r="O31" s="2">
        <f>O29*$AH$31</f>
        <v>0</v>
      </c>
      <c r="P31" s="3">
        <f>VLOOKUP(Q$28,战力关系!$A$2:$B$10,2,FALSE)*Q31+VLOOKUP(R$28,战力关系!$A$2:$B$10,2,FALSE)*R31+VLOOKUP(T$28,战力关系!$A$2:$B$10,2,FALSE)*T31+VLOOKUP(U$28,战力关系!$A$2:$B$10,2,FALSE)*U31+S31*战力关系!$B$5</f>
        <v>60</v>
      </c>
      <c r="Q31" s="2">
        <f t="shared" ref="Q31" si="47">Q29*$AH$31</f>
        <v>4</v>
      </c>
      <c r="R31" s="2">
        <f>R29*$AH$31</f>
        <v>100</v>
      </c>
      <c r="S31" s="2">
        <f t="shared" ref="S31" si="48">S29*$AH$31</f>
        <v>4</v>
      </c>
      <c r="T31" s="2">
        <f>T29*$AH$31</f>
        <v>0</v>
      </c>
      <c r="U31" s="2">
        <f>U29*$AH$31</f>
        <v>0</v>
      </c>
      <c r="V31" s="3">
        <f>VLOOKUP(W$28,战力关系!$A$2:$B$10,2,FALSE)*W31+VLOOKUP(X$28,战力关系!$A$2:$B$10,2,FALSE)*X31+VLOOKUP(Y$28,战力关系!$A$2:$B$10,2,FALSE)*Y31+VLOOKUP(Z$28,战力关系!$A$2:$B$10,2,FALSE)*Z31+VLOOKUP(AA$28,战力关系!$A$2:$B$10,2,FALSE)*AA31</f>
        <v>60</v>
      </c>
      <c r="W31" s="2">
        <f>W29*$AH$31</f>
        <v>4</v>
      </c>
      <c r="X31" s="2">
        <f>X29*$AH$31</f>
        <v>100</v>
      </c>
      <c r="Y31" s="2">
        <f>Y29*$AH$31</f>
        <v>4</v>
      </c>
      <c r="Z31" s="2">
        <f>Z29*$AH$31</f>
        <v>0</v>
      </c>
      <c r="AA31" s="2">
        <f>AA29*$AH$31</f>
        <v>0</v>
      </c>
      <c r="AB31" s="3">
        <f>VLOOKUP(AC$28,战力关系!$A$2:$B$10,2,FALSE)*AC31+VLOOKUP(AD$28,战力关系!$A$2:$B$10,2,FALSE)*AD31+VLOOKUP(AE$28,战力关系!$A$2:$B$10,2,FALSE)*AE31+VLOOKUP(AF$28,战力关系!$A$2:$B$10,2,FALSE)*AF31+VLOOKUP(AG$28,战力关系!$A$2:$B$10,2,FALSE)*AG31</f>
        <v>60</v>
      </c>
      <c r="AC31" s="2">
        <f>AC29*$AH$31</f>
        <v>4</v>
      </c>
      <c r="AD31" s="2">
        <f>AD29*$AH$31</f>
        <v>4</v>
      </c>
      <c r="AE31" s="2">
        <f>AE29*$AH$31</f>
        <v>4</v>
      </c>
      <c r="AF31" s="2">
        <f>AF29*$AH$31</f>
        <v>0</v>
      </c>
      <c r="AG31" s="2">
        <f>AG29*$AH$31</f>
        <v>0</v>
      </c>
      <c r="AH31" s="2">
        <v>2</v>
      </c>
    </row>
    <row r="32" spans="1:34" x14ac:dyDescent="0.2">
      <c r="B32" s="163" t="s">
        <v>66</v>
      </c>
      <c r="C32" s="3" t="s">
        <v>45</v>
      </c>
      <c r="D32" s="3">
        <f>VLOOKUP(E$28,战力关系!$A$2:$B$10,2,FALSE)*E32+VLOOKUP(F$28,战力关系!$A$2:$B$10,2,FALSE)*F32+VLOOKUP(H$28,战力关系!$A$2:$B$10,2,FALSE)*H32+VLOOKUP(I$28,战力关系!$A$2:$B$10,2,FALSE)*I32</f>
        <v>30</v>
      </c>
      <c r="E32" s="2">
        <v>2</v>
      </c>
      <c r="F32" s="2">
        <v>2</v>
      </c>
      <c r="G32" s="2"/>
      <c r="H32" s="2">
        <v>2</v>
      </c>
      <c r="I32" s="2"/>
      <c r="J32" s="3">
        <f>VLOOKUP(K$28,战力关系!$A$2:$B$10,2,FALSE)*K32+VLOOKUP(L$28,战力关系!$A$2:$B$10,2,FALSE)*L32+VLOOKUP(M$28,战力关系!$A$2:$B$10,2,FALSE)*M32+VLOOKUP(N$28,战力关系!$A$2:$B$10,2,FALSE)*N32+VLOOKUP(O$28,战力关系!$A$2:$B$10,2,FALSE)*O32</f>
        <v>30</v>
      </c>
      <c r="K32" s="2">
        <v>50</v>
      </c>
      <c r="L32" s="2"/>
      <c r="M32" s="2">
        <v>2</v>
      </c>
      <c r="N32" s="2"/>
      <c r="O32" s="2">
        <v>0.02</v>
      </c>
      <c r="P32" s="3">
        <f>VLOOKUP(Q$28,战力关系!$A$2:$B$10,2,FALSE)*Q32+VLOOKUP(R$28,战力关系!$A$2:$B$10,2,FALSE)*R32+VLOOKUP(T$28,战力关系!$A$2:$B$10,2,FALSE)*T32+VLOOKUP(U$28,战力关系!$A$2:$B$10,2,FALSE)*U32</f>
        <v>30</v>
      </c>
      <c r="Q32" s="2">
        <v>2</v>
      </c>
      <c r="R32" s="2">
        <v>50</v>
      </c>
      <c r="S32" s="2"/>
      <c r="T32" s="2">
        <v>0.02</v>
      </c>
      <c r="U32" s="2"/>
      <c r="V32" s="3">
        <f>VLOOKUP(W$28,战力关系!$A$2:$B$10,2,FALSE)*W32+VLOOKUP(X$28,战力关系!$A$2:$B$10,2,FALSE)*X32+VLOOKUP(Y$28,战力关系!$A$2:$B$10,2,FALSE)*Y32+VLOOKUP(Z$28,战力关系!$A$2:$B$10,2,FALSE)*Z32+VLOOKUP(AA$28,战力关系!$A$2:$B$10,2,FALSE)*AA32</f>
        <v>30</v>
      </c>
      <c r="W32" s="2">
        <v>2</v>
      </c>
      <c r="X32" s="2">
        <v>50</v>
      </c>
      <c r="Y32" s="2"/>
      <c r="Z32" s="2">
        <v>0.02</v>
      </c>
      <c r="AA32" s="2"/>
      <c r="AB32" s="3">
        <f>VLOOKUP(AC$28,战力关系!$A$2:$B$10,2,FALSE)*AC32+VLOOKUP(AD$28,战力关系!$A$2:$B$10,2,FALSE)*AD32+VLOOKUP(AE$28,战力关系!$A$2:$B$10,2,FALSE)*AE32+VLOOKUP(AF$28,战力关系!$A$2:$B$10,2,FALSE)*AF32+VLOOKUP(AG$28,战力关系!$A$2:$B$10,2,FALSE)*AG32</f>
        <v>30</v>
      </c>
      <c r="AC32" s="2">
        <v>2</v>
      </c>
      <c r="AD32" s="2">
        <v>2</v>
      </c>
      <c r="AE32" s="2"/>
      <c r="AF32" s="2">
        <v>2</v>
      </c>
      <c r="AG32" s="2"/>
    </row>
    <row r="33" spans="2:33" x14ac:dyDescent="0.2">
      <c r="B33" s="163"/>
      <c r="C33" s="3" t="s">
        <v>46</v>
      </c>
      <c r="D33" s="3">
        <f>VLOOKUP(E$28,战力关系!$A$2:$B$10,2,FALSE)*E33+VLOOKUP(F$28,战力关系!$A$2:$B$10,2,FALSE)*F33+VLOOKUP(H$28,战力关系!$A$2:$B$10,2,FALSE)*H33+VLOOKUP(I$28,战力关系!$A$2:$B$10,2,FALSE)*I33</f>
        <v>45</v>
      </c>
      <c r="E33" s="2">
        <f>E32*$AH$30</f>
        <v>3</v>
      </c>
      <c r="F33" s="2">
        <f>F32*$AH$30</f>
        <v>3</v>
      </c>
      <c r="G33" s="2"/>
      <c r="H33" s="2">
        <f>H32*$AH$30</f>
        <v>3</v>
      </c>
      <c r="I33" s="2">
        <f>I32*$AH$30</f>
        <v>0</v>
      </c>
      <c r="J33" s="3">
        <f>VLOOKUP(K$28,战力关系!$A$2:$B$10,2,FALSE)*K33+VLOOKUP(L$28,战力关系!$A$2:$B$10,2,FALSE)*L33+VLOOKUP(M$28,战力关系!$A$2:$B$10,2,FALSE)*M33+VLOOKUP(N$28,战力关系!$A$2:$B$10,2,FALSE)*N33+VLOOKUP(O$28,战力关系!$A$2:$B$10,2,FALSE)*O33</f>
        <v>45</v>
      </c>
      <c r="K33" s="2">
        <f>K32*$AH$30</f>
        <v>75</v>
      </c>
      <c r="L33" s="2">
        <f>L32*$AH$30</f>
        <v>0</v>
      </c>
      <c r="M33" s="2">
        <f>M32*$AH$30</f>
        <v>3</v>
      </c>
      <c r="N33" s="2">
        <f>N32*$AH$30</f>
        <v>0</v>
      </c>
      <c r="O33" s="2">
        <f>O32*$AH$30</f>
        <v>0.03</v>
      </c>
      <c r="P33" s="3">
        <f>VLOOKUP(Q$28,战力关系!$A$2:$B$10,2,FALSE)*Q33+VLOOKUP(R$28,战力关系!$A$2:$B$10,2,FALSE)*R33+VLOOKUP(T$28,战力关系!$A$2:$B$10,2,FALSE)*T33+VLOOKUP(U$28,战力关系!$A$2:$B$10,2,FALSE)*U33</f>
        <v>45</v>
      </c>
      <c r="Q33" s="2">
        <f>Q32*$AH$30</f>
        <v>3</v>
      </c>
      <c r="R33" s="2">
        <f>R32*$AH$30</f>
        <v>75</v>
      </c>
      <c r="S33" s="2"/>
      <c r="T33" s="2">
        <f>T32*$AH$30</f>
        <v>0.03</v>
      </c>
      <c r="U33" s="2">
        <f>U32*$AH$30</f>
        <v>0</v>
      </c>
      <c r="V33" s="3">
        <f>VLOOKUP(W$28,战力关系!$A$2:$B$10,2,FALSE)*W33+VLOOKUP(X$28,战力关系!$A$2:$B$10,2,FALSE)*X33+VLOOKUP(Y$28,战力关系!$A$2:$B$10,2,FALSE)*Y33+VLOOKUP(Z$28,战力关系!$A$2:$B$10,2,FALSE)*Z33+VLOOKUP(AA$28,战力关系!$A$2:$B$10,2,FALSE)*AA33</f>
        <v>45</v>
      </c>
      <c r="W33" s="2">
        <f>W32*$AH$30</f>
        <v>3</v>
      </c>
      <c r="X33" s="2">
        <f>X32*$AH$30</f>
        <v>75</v>
      </c>
      <c r="Y33" s="2">
        <f>Y32*$AH$30</f>
        <v>0</v>
      </c>
      <c r="Z33" s="2">
        <f>Z32*$AH$30</f>
        <v>0.03</v>
      </c>
      <c r="AA33" s="2">
        <f>AA32*$AH$30</f>
        <v>0</v>
      </c>
      <c r="AB33" s="3">
        <f>VLOOKUP(AC$28,战力关系!$A$2:$B$10,2,FALSE)*AC33+VLOOKUP(AD$28,战力关系!$A$2:$B$10,2,FALSE)*AD33+VLOOKUP(AE$28,战力关系!$A$2:$B$10,2,FALSE)*AE33+VLOOKUP(AF$28,战力关系!$A$2:$B$10,2,FALSE)*AF33+VLOOKUP(AG$28,战力关系!$A$2:$B$10,2,FALSE)*AG33</f>
        <v>45</v>
      </c>
      <c r="AC33" s="2">
        <f>AC32*$AH$30</f>
        <v>3</v>
      </c>
      <c r="AD33" s="2">
        <f>AD32*$AH$30</f>
        <v>3</v>
      </c>
      <c r="AE33" s="2">
        <f>AE32*$AH$30</f>
        <v>0</v>
      </c>
      <c r="AF33" s="2">
        <f>AF32*$AH$30</f>
        <v>3</v>
      </c>
      <c r="AG33" s="2">
        <f>AG32*$AH$30</f>
        <v>0</v>
      </c>
    </row>
    <row r="34" spans="2:33" x14ac:dyDescent="0.2">
      <c r="B34" s="163"/>
      <c r="C34" s="3" t="s">
        <v>64</v>
      </c>
      <c r="D34" s="3">
        <f>VLOOKUP(E$28,战力关系!$A$2:$B$10,2,FALSE)*E34+VLOOKUP(F$28,战力关系!$A$2:$B$10,2,FALSE)*F34+VLOOKUP(H$28,战力关系!$A$2:$B$10,2,FALSE)*H34+VLOOKUP(I$28,战力关系!$A$2:$B$10,2,FALSE)*I34</f>
        <v>60</v>
      </c>
      <c r="E34" s="2">
        <f>E32*$AH$31</f>
        <v>4</v>
      </c>
      <c r="F34" s="2">
        <f>F32*$AH$31</f>
        <v>4</v>
      </c>
      <c r="G34" s="2"/>
      <c r="H34" s="2">
        <f>H32*$AH$31</f>
        <v>4</v>
      </c>
      <c r="I34" s="2">
        <f>I32*$AH$31</f>
        <v>0</v>
      </c>
      <c r="J34" s="3">
        <f>VLOOKUP(K$28,战力关系!$A$2:$B$10,2,FALSE)*K34+VLOOKUP(L$28,战力关系!$A$2:$B$10,2,FALSE)*L34+VLOOKUP(M$28,战力关系!$A$2:$B$10,2,FALSE)*M34+VLOOKUP(N$28,战力关系!$A$2:$B$10,2,FALSE)*N34+VLOOKUP(O$28,战力关系!$A$2:$B$10,2,FALSE)*O34</f>
        <v>60</v>
      </c>
      <c r="K34" s="2">
        <f>K32*$AH$31</f>
        <v>100</v>
      </c>
      <c r="L34" s="2">
        <f>L32*$AH$31</f>
        <v>0</v>
      </c>
      <c r="M34" s="2">
        <f>M32*$AH$31</f>
        <v>4</v>
      </c>
      <c r="N34" s="2">
        <f>N32*$AH$31</f>
        <v>0</v>
      </c>
      <c r="O34" s="2">
        <f>O32*$AH$31</f>
        <v>0.04</v>
      </c>
      <c r="P34" s="3">
        <f>VLOOKUP(Q$28,战力关系!$A$2:$B$10,2,FALSE)*Q34+VLOOKUP(R$28,战力关系!$A$2:$B$10,2,FALSE)*R34+VLOOKUP(T$28,战力关系!$A$2:$B$10,2,FALSE)*T34+VLOOKUP(U$28,战力关系!$A$2:$B$10,2,FALSE)*U34</f>
        <v>60</v>
      </c>
      <c r="Q34" s="2">
        <f>Q32*$AH$31</f>
        <v>4</v>
      </c>
      <c r="R34" s="2">
        <f>R32*$AH$31</f>
        <v>100</v>
      </c>
      <c r="S34" s="2"/>
      <c r="T34" s="2">
        <f>T32*$AH$31</f>
        <v>0.04</v>
      </c>
      <c r="U34" s="2">
        <f>U32*$AH$31</f>
        <v>0</v>
      </c>
      <c r="V34" s="3">
        <f>VLOOKUP(W$28,战力关系!$A$2:$B$10,2,FALSE)*W34+VLOOKUP(X$28,战力关系!$A$2:$B$10,2,FALSE)*X34+VLOOKUP(Y$28,战力关系!$A$2:$B$10,2,FALSE)*Y34+VLOOKUP(Z$28,战力关系!$A$2:$B$10,2,FALSE)*Z34+VLOOKUP(AA$28,战力关系!$A$2:$B$10,2,FALSE)*AA34</f>
        <v>60</v>
      </c>
      <c r="W34" s="2">
        <f>W32*$AH$31</f>
        <v>4</v>
      </c>
      <c r="X34" s="2">
        <f>X32*$AH$31</f>
        <v>100</v>
      </c>
      <c r="Y34" s="2">
        <f>Y32*$AH$31</f>
        <v>0</v>
      </c>
      <c r="Z34" s="2">
        <f>Z32*$AH$31</f>
        <v>0.04</v>
      </c>
      <c r="AA34" s="2">
        <f>AA32*$AH$31</f>
        <v>0</v>
      </c>
      <c r="AB34" s="3">
        <f>VLOOKUP(AC$28,战力关系!$A$2:$B$10,2,FALSE)*AC34+VLOOKUP(AD$28,战力关系!$A$2:$B$10,2,FALSE)*AD34+VLOOKUP(AE$28,战力关系!$A$2:$B$10,2,FALSE)*AE34+VLOOKUP(AF$28,战力关系!$A$2:$B$10,2,FALSE)*AF34+VLOOKUP(AG$28,战力关系!$A$2:$B$10,2,FALSE)*AG34</f>
        <v>60</v>
      </c>
      <c r="AC34" s="2">
        <f>AC32*$AH$31</f>
        <v>4</v>
      </c>
      <c r="AD34" s="2">
        <f>AD32*$AH$31</f>
        <v>4</v>
      </c>
      <c r="AE34" s="2">
        <f>AE32*$AH$31</f>
        <v>0</v>
      </c>
      <c r="AF34" s="2">
        <f>AF32*$AH$31</f>
        <v>4</v>
      </c>
      <c r="AG34" s="2">
        <f>AG32*$AH$31</f>
        <v>0</v>
      </c>
    </row>
    <row r="35" spans="2:33" x14ac:dyDescent="0.2">
      <c r="B35" s="163" t="s">
        <v>67</v>
      </c>
      <c r="C35" s="3" t="s">
        <v>45</v>
      </c>
      <c r="D35" s="3">
        <f>VLOOKUP(E$28,战力关系!$A$2:$B$10,2,FALSE)*E35+VLOOKUP(F$28,战力关系!$A$2:$B$10,2,FALSE)*F35+VLOOKUP(H$28,战力关系!$A$2:$B$10,2,FALSE)*H35+VLOOKUP(I$28,战力关系!$A$2:$B$10,2,FALSE)*I35</f>
        <v>30</v>
      </c>
      <c r="E35" s="2">
        <v>2</v>
      </c>
      <c r="F35" s="2">
        <v>2</v>
      </c>
      <c r="G35" s="2"/>
      <c r="I35" s="2">
        <v>0.02</v>
      </c>
      <c r="J35" s="3">
        <f>VLOOKUP(K$28,战力关系!$A$2:$B$10,2,FALSE)*K35+VLOOKUP(L$28,战力关系!$A$2:$B$10,2,FALSE)*L35+VLOOKUP(M$28,战力关系!$A$2:$B$10,2,FALSE)*M35+VLOOKUP(N$28,战力关系!$A$2:$B$10,2,FALSE)*N35+VLOOKUP(O$28,战力关系!$A$2:$B$10,2,FALSE)*O35</f>
        <v>30</v>
      </c>
      <c r="K35" s="2">
        <v>50</v>
      </c>
      <c r="L35" s="2"/>
      <c r="M35" s="2"/>
      <c r="N35" s="2">
        <v>0.02</v>
      </c>
      <c r="O35" s="2">
        <v>0.02</v>
      </c>
      <c r="P35" s="3">
        <f>VLOOKUP(Q$28,战力关系!$A$2:$B$10,2,FALSE)*Q35+VLOOKUP(R$28,战力关系!$A$2:$B$10,2,FALSE)*R35+VLOOKUP(T$28,战力关系!$A$2:$B$10,2,FALSE)*T35+VLOOKUP(U$28,战力关系!$A$2:$B$10,2,FALSE)*U35</f>
        <v>30</v>
      </c>
      <c r="Q35" s="2">
        <v>2</v>
      </c>
      <c r="R35" s="2">
        <v>50</v>
      </c>
      <c r="S35" s="2"/>
      <c r="T35" s="2"/>
      <c r="U35" s="2">
        <v>0.02</v>
      </c>
      <c r="V35" s="3">
        <f>VLOOKUP(W$28,战力关系!$A$2:$B$10,2,FALSE)*W35+VLOOKUP(X$28,战力关系!$A$2:$B$10,2,FALSE)*X35+VLOOKUP(Y$28,战力关系!$A$2:$B$10,2,FALSE)*Y35+VLOOKUP(Z$28,战力关系!$A$2:$B$10,2,FALSE)*Z35+VLOOKUP(AA$28,战力关系!$A$2:$B$10,2,FALSE)*AA35</f>
        <v>30</v>
      </c>
      <c r="W35" s="2">
        <v>2</v>
      </c>
      <c r="X35" s="2">
        <v>50</v>
      </c>
      <c r="Y35" s="2"/>
      <c r="Z35" s="2"/>
      <c r="AA35" s="2">
        <v>0.02</v>
      </c>
      <c r="AB35" s="3">
        <f>VLOOKUP(AC$28,战力关系!$A$2:$B$10,2,FALSE)*AC35+VLOOKUP(AD$28,战力关系!$A$2:$B$10,2,FALSE)*AD35+VLOOKUP(AE$28,战力关系!$A$2:$B$10,2,FALSE)*AE35+VLOOKUP(AF$28,战力关系!$A$2:$B$10,2,FALSE)*AF35+VLOOKUP(AG$28,战力关系!$A$2:$B$10,2,FALSE)*AG35</f>
        <v>30</v>
      </c>
      <c r="AC35" s="2">
        <v>2</v>
      </c>
      <c r="AD35" s="2">
        <v>2</v>
      </c>
      <c r="AE35" s="2"/>
      <c r="AF35" s="2"/>
      <c r="AG35" s="2">
        <v>0.02</v>
      </c>
    </row>
    <row r="36" spans="2:33" x14ac:dyDescent="0.2">
      <c r="B36" s="163"/>
      <c r="C36" s="3" t="s">
        <v>46</v>
      </c>
      <c r="D36" s="3">
        <f>VLOOKUP(E$28,战力关系!$A$2:$B$10,2,FALSE)*E36+VLOOKUP(F$28,战力关系!$A$2:$B$10,2,FALSE)*F36+VLOOKUP(H$28,战力关系!$A$2:$B$10,2,FALSE)*H36+VLOOKUP(I$28,战力关系!$A$2:$B$10,2,FALSE)*I36</f>
        <v>45</v>
      </c>
      <c r="E36" s="2">
        <f>E35*$AH$30</f>
        <v>3</v>
      </c>
      <c r="F36" s="2">
        <f>F35*$AH$30</f>
        <v>3</v>
      </c>
      <c r="G36" s="2"/>
      <c r="H36" s="2">
        <f>H35*$AH$30</f>
        <v>0</v>
      </c>
      <c r="I36" s="2">
        <f>I35*$AH$30</f>
        <v>0.03</v>
      </c>
      <c r="J36" s="3">
        <f>VLOOKUP(K$28,战力关系!$A$2:$B$10,2,FALSE)*K36+VLOOKUP(L$28,战力关系!$A$2:$B$10,2,FALSE)*L36+VLOOKUP(M$28,战力关系!$A$2:$B$10,2,FALSE)*M36+VLOOKUP(N$28,战力关系!$A$2:$B$10,2,FALSE)*N36+VLOOKUP(O$28,战力关系!$A$2:$B$10,2,FALSE)*O36</f>
        <v>45</v>
      </c>
      <c r="K36" s="2">
        <f>K35*$AH$30</f>
        <v>75</v>
      </c>
      <c r="L36" s="2">
        <f>L35*$AH$30</f>
        <v>0</v>
      </c>
      <c r="M36" s="2">
        <f>M35*$AH$30</f>
        <v>0</v>
      </c>
      <c r="N36" s="2">
        <f>N35*$AH$30</f>
        <v>0.03</v>
      </c>
      <c r="O36" s="2">
        <f>O35*$AH$30</f>
        <v>0.03</v>
      </c>
      <c r="P36" s="3">
        <f>VLOOKUP(Q$28,战力关系!$A$2:$B$10,2,FALSE)*Q36+VLOOKUP(R$28,战力关系!$A$2:$B$10,2,FALSE)*R36+VLOOKUP(T$28,战力关系!$A$2:$B$10,2,FALSE)*T36+VLOOKUP(U$28,战力关系!$A$2:$B$10,2,FALSE)*U36</f>
        <v>45</v>
      </c>
      <c r="Q36" s="2">
        <f>Q35*$AH$30</f>
        <v>3</v>
      </c>
      <c r="R36" s="2">
        <f>R35*$AH$30</f>
        <v>75</v>
      </c>
      <c r="S36" s="2"/>
      <c r="T36" s="2">
        <f>T35*$AH$30</f>
        <v>0</v>
      </c>
      <c r="U36" s="2">
        <f>U35*$AH$30</f>
        <v>0.03</v>
      </c>
      <c r="V36" s="3">
        <f>VLOOKUP(W$28,战力关系!$A$2:$B$10,2,FALSE)*W36+VLOOKUP(X$28,战力关系!$A$2:$B$10,2,FALSE)*X36+VLOOKUP(Y$28,战力关系!$A$2:$B$10,2,FALSE)*Y36+VLOOKUP(Z$28,战力关系!$A$2:$B$10,2,FALSE)*Z36+VLOOKUP(AA$28,战力关系!$A$2:$B$10,2,FALSE)*AA36</f>
        <v>45</v>
      </c>
      <c r="W36" s="2">
        <f>W35*$AH$30</f>
        <v>3</v>
      </c>
      <c r="X36" s="2">
        <f>X35*$AH$30</f>
        <v>75</v>
      </c>
      <c r="Y36" s="2">
        <f>Y35*$AH$30</f>
        <v>0</v>
      </c>
      <c r="Z36" s="2">
        <f>Z35*$AH$30</f>
        <v>0</v>
      </c>
      <c r="AA36" s="2">
        <f>AA35*$AH$30</f>
        <v>0.03</v>
      </c>
      <c r="AB36" s="3">
        <f>VLOOKUP(AC$28,战力关系!$A$2:$B$10,2,FALSE)*AC36+VLOOKUP(AD$28,战力关系!$A$2:$B$10,2,FALSE)*AD36+VLOOKUP(AE$28,战力关系!$A$2:$B$10,2,FALSE)*AE36+VLOOKUP(AF$28,战力关系!$A$2:$B$10,2,FALSE)*AF36+VLOOKUP(AG$28,战力关系!$A$2:$B$10,2,FALSE)*AG36</f>
        <v>45</v>
      </c>
      <c r="AC36" s="2">
        <f>AC35*$AH$30</f>
        <v>3</v>
      </c>
      <c r="AD36" s="2">
        <f>AD35*$AH$30</f>
        <v>3</v>
      </c>
      <c r="AE36" s="2">
        <f>AE35*$AH$30</f>
        <v>0</v>
      </c>
      <c r="AF36" s="2">
        <f>AF35*$AH$30</f>
        <v>0</v>
      </c>
      <c r="AG36" s="2">
        <f>AG35*$AH$30</f>
        <v>0.03</v>
      </c>
    </row>
    <row r="37" spans="2:33" x14ac:dyDescent="0.2">
      <c r="B37" s="163"/>
      <c r="C37" s="3" t="s">
        <v>64</v>
      </c>
      <c r="D37" s="3">
        <f>VLOOKUP(E$28,战力关系!$A$2:$B$10,2,FALSE)*E37+VLOOKUP(F$28,战力关系!$A$2:$B$10,2,FALSE)*F37+VLOOKUP(H$28,战力关系!$A$2:$B$10,2,FALSE)*H37+VLOOKUP(I$28,战力关系!$A$2:$B$10,2,FALSE)*I37</f>
        <v>60</v>
      </c>
      <c r="E37" s="2">
        <f>E35*$AH$31</f>
        <v>4</v>
      </c>
      <c r="F37" s="2">
        <f>F35*$AH$31</f>
        <v>4</v>
      </c>
      <c r="G37" s="2"/>
      <c r="H37" s="2">
        <f>H35*$AH$31</f>
        <v>0</v>
      </c>
      <c r="I37" s="2">
        <f>I35*$AH$31</f>
        <v>0.04</v>
      </c>
      <c r="J37" s="3">
        <f>VLOOKUP(K$28,战力关系!$A$2:$B$10,2,FALSE)*K37+VLOOKUP(L$28,战力关系!$A$2:$B$10,2,FALSE)*L37+VLOOKUP(M$28,战力关系!$A$2:$B$10,2,FALSE)*M37+VLOOKUP(N$28,战力关系!$A$2:$B$10,2,FALSE)*N37+VLOOKUP(O$28,战力关系!$A$2:$B$10,2,FALSE)*O37</f>
        <v>60</v>
      </c>
      <c r="K37" s="2">
        <f>K35*$AH$31</f>
        <v>100</v>
      </c>
      <c r="L37" s="2">
        <f>L35*$AH$31</f>
        <v>0</v>
      </c>
      <c r="M37" s="2">
        <f>M35*$AH$31</f>
        <v>0</v>
      </c>
      <c r="N37" s="2">
        <f>N35*$AH$31</f>
        <v>0.04</v>
      </c>
      <c r="O37" s="2">
        <f>O35*$AH$31</f>
        <v>0.04</v>
      </c>
      <c r="P37" s="3">
        <f>VLOOKUP(Q$28,战力关系!$A$2:$B$10,2,FALSE)*Q37+VLOOKUP(R$28,战力关系!$A$2:$B$10,2,FALSE)*R37+VLOOKUP(T$28,战力关系!$A$2:$B$10,2,FALSE)*T37+VLOOKUP(U$28,战力关系!$A$2:$B$10,2,FALSE)*U37</f>
        <v>60</v>
      </c>
      <c r="Q37" s="2">
        <f>Q35*$AH$31</f>
        <v>4</v>
      </c>
      <c r="R37" s="2">
        <f>R35*$AH$31</f>
        <v>100</v>
      </c>
      <c r="S37" s="2"/>
      <c r="T37" s="2">
        <f>T35*$AH$31</f>
        <v>0</v>
      </c>
      <c r="U37" s="2">
        <f>U35*$AH$31</f>
        <v>0.04</v>
      </c>
      <c r="V37" s="3">
        <f>VLOOKUP(W$28,战力关系!$A$2:$B$10,2,FALSE)*W37+VLOOKUP(X$28,战力关系!$A$2:$B$10,2,FALSE)*X37+VLOOKUP(Y$28,战力关系!$A$2:$B$10,2,FALSE)*Y37+VLOOKUP(Z$28,战力关系!$A$2:$B$10,2,FALSE)*Z37+VLOOKUP(AA$28,战力关系!$A$2:$B$10,2,FALSE)*AA37</f>
        <v>60</v>
      </c>
      <c r="W37" s="2">
        <f>W35*$AH$31</f>
        <v>4</v>
      </c>
      <c r="X37" s="2">
        <f>X35*$AH$31</f>
        <v>100</v>
      </c>
      <c r="Y37" s="2">
        <f>Y35*$AH$31</f>
        <v>0</v>
      </c>
      <c r="Z37" s="2">
        <f>Z35*$AH$31</f>
        <v>0</v>
      </c>
      <c r="AA37" s="2">
        <f>AA35*$AH$31</f>
        <v>0.04</v>
      </c>
      <c r="AB37" s="3">
        <f>VLOOKUP(AC$28,战力关系!$A$2:$B$10,2,FALSE)*AC37+VLOOKUP(AD$28,战力关系!$A$2:$B$10,2,FALSE)*AD37+VLOOKUP(AE$28,战力关系!$A$2:$B$10,2,FALSE)*AE37+VLOOKUP(AF$28,战力关系!$A$2:$B$10,2,FALSE)*AF37+VLOOKUP(AG$28,战力关系!$A$2:$B$10,2,FALSE)*AG37</f>
        <v>60</v>
      </c>
      <c r="AC37" s="2">
        <f>AC35*$AH$31</f>
        <v>4</v>
      </c>
      <c r="AD37" s="2">
        <f>AD35*$AH$31</f>
        <v>4</v>
      </c>
      <c r="AE37" s="2">
        <f>AE35*$AH$31</f>
        <v>0</v>
      </c>
      <c r="AF37" s="2">
        <f>AF35*$AH$31</f>
        <v>0</v>
      </c>
      <c r="AG37" s="2">
        <f>AG35*$AH$31</f>
        <v>0.04</v>
      </c>
    </row>
    <row r="40" spans="2:33" x14ac:dyDescent="0.2">
      <c r="B40" t="s">
        <v>126</v>
      </c>
    </row>
    <row r="41" spans="2:33" x14ac:dyDescent="0.2">
      <c r="B41" s="38" t="s">
        <v>18</v>
      </c>
      <c r="C41" s="38" t="s">
        <v>124</v>
      </c>
      <c r="D41" s="38" t="s">
        <v>125</v>
      </c>
    </row>
    <row r="42" spans="2:33" x14ac:dyDescent="0.2">
      <c r="B42" s="2" t="s">
        <v>1</v>
      </c>
      <c r="C42" s="2">
        <v>9</v>
      </c>
      <c r="D42" s="2">
        <f>C42/SUM($C$42:$C$48)</f>
        <v>0.2</v>
      </c>
    </row>
    <row r="43" spans="2:33" x14ac:dyDescent="0.2">
      <c r="B43" s="2" t="s">
        <v>2</v>
      </c>
      <c r="C43" s="2">
        <v>9</v>
      </c>
      <c r="D43" s="2">
        <f t="shared" ref="D43:D48" si="49">C43/SUM($C$42:$C$48)</f>
        <v>0.2</v>
      </c>
    </row>
    <row r="44" spans="2:33" x14ac:dyDescent="0.2">
      <c r="B44" s="2" t="s">
        <v>3</v>
      </c>
      <c r="C44" s="2">
        <f>9</f>
        <v>9</v>
      </c>
      <c r="D44" s="2">
        <f t="shared" si="49"/>
        <v>0.2</v>
      </c>
    </row>
    <row r="45" spans="2:33" x14ac:dyDescent="0.2">
      <c r="B45" s="2" t="s">
        <v>4</v>
      </c>
      <c r="C45" s="2">
        <v>5</v>
      </c>
      <c r="D45" s="2">
        <f t="shared" si="49"/>
        <v>0.1111111111111111</v>
      </c>
    </row>
    <row r="46" spans="2:33" x14ac:dyDescent="0.2">
      <c r="B46" s="2" t="s">
        <v>20</v>
      </c>
      <c r="C46" s="2">
        <v>4</v>
      </c>
      <c r="D46" s="2">
        <f t="shared" si="49"/>
        <v>8.8888888888888892E-2</v>
      </c>
    </row>
    <row r="47" spans="2:33" x14ac:dyDescent="0.2">
      <c r="B47" s="2" t="s">
        <v>6</v>
      </c>
      <c r="C47" s="2">
        <v>5</v>
      </c>
      <c r="D47" s="2">
        <f t="shared" si="49"/>
        <v>0.1111111111111111</v>
      </c>
    </row>
    <row r="48" spans="2:33" x14ac:dyDescent="0.2">
      <c r="B48" s="2" t="s">
        <v>7</v>
      </c>
      <c r="C48" s="2">
        <v>4</v>
      </c>
      <c r="D48" s="2">
        <f t="shared" si="49"/>
        <v>8.8888888888888892E-2</v>
      </c>
    </row>
  </sheetData>
  <mergeCells count="21">
    <mergeCell ref="AB27:AG27"/>
    <mergeCell ref="D27:I27"/>
    <mergeCell ref="J27:O27"/>
    <mergeCell ref="B32:B34"/>
    <mergeCell ref="B35:B37"/>
    <mergeCell ref="P27:U27"/>
    <mergeCell ref="V27:AA27"/>
    <mergeCell ref="B29:B31"/>
    <mergeCell ref="D1:I1"/>
    <mergeCell ref="J1:O1"/>
    <mergeCell ref="P1:U1"/>
    <mergeCell ref="V1:AA1"/>
    <mergeCell ref="AB1:AG1"/>
    <mergeCell ref="B3:B5"/>
    <mergeCell ref="B6:B8"/>
    <mergeCell ref="B9:B11"/>
    <mergeCell ref="A3:A11"/>
    <mergeCell ref="A12:A20"/>
    <mergeCell ref="B12:B14"/>
    <mergeCell ref="B15:B17"/>
    <mergeCell ref="B18:B20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2B40-E982-4D7B-A9B9-2BDDF68FFB2E}">
  <sheetPr>
    <tabColor theme="4" tint="-0.249977111117893"/>
  </sheetPr>
  <dimension ref="A1:O22"/>
  <sheetViews>
    <sheetView workbookViewId="0">
      <selection activeCell="B3" sqref="B3"/>
    </sheetView>
  </sheetViews>
  <sheetFormatPr defaultRowHeight="14.25" x14ac:dyDescent="0.2"/>
  <sheetData>
    <row r="1" spans="1:15" x14ac:dyDescent="0.2">
      <c r="A1" s="2"/>
      <c r="B1" s="178" t="s">
        <v>58</v>
      </c>
      <c r="C1" s="178"/>
      <c r="D1" s="178"/>
      <c r="E1" s="179" t="s">
        <v>59</v>
      </c>
      <c r="F1" s="179"/>
      <c r="G1" s="180" t="s">
        <v>60</v>
      </c>
      <c r="H1" s="180"/>
      <c r="I1" s="180"/>
      <c r="J1" s="181" t="s">
        <v>61</v>
      </c>
      <c r="K1" s="181"/>
      <c r="L1" s="181"/>
      <c r="M1" s="182" t="s">
        <v>62</v>
      </c>
      <c r="N1" s="182"/>
      <c r="O1" s="182"/>
    </row>
    <row r="2" spans="1:15" x14ac:dyDescent="0.2">
      <c r="A2" s="2" t="s">
        <v>89</v>
      </c>
      <c r="B2" s="5" t="s">
        <v>19</v>
      </c>
      <c r="C2" s="5" t="s">
        <v>1</v>
      </c>
      <c r="D2" s="5" t="s">
        <v>2</v>
      </c>
      <c r="E2" s="5" t="s">
        <v>19</v>
      </c>
      <c r="F2" s="5" t="s">
        <v>3</v>
      </c>
      <c r="G2" s="5" t="s">
        <v>19</v>
      </c>
      <c r="H2" s="5" t="s">
        <v>1</v>
      </c>
      <c r="I2" s="5" t="s">
        <v>3</v>
      </c>
      <c r="J2" s="5" t="s">
        <v>19</v>
      </c>
      <c r="K2" s="5" t="s">
        <v>2</v>
      </c>
      <c r="L2" s="5" t="s">
        <v>3</v>
      </c>
      <c r="M2" s="5" t="s">
        <v>19</v>
      </c>
      <c r="N2" s="5" t="s">
        <v>1</v>
      </c>
      <c r="O2" s="5" t="s">
        <v>2</v>
      </c>
    </row>
    <row r="3" spans="1:15" x14ac:dyDescent="0.2">
      <c r="A3" s="2">
        <v>1</v>
      </c>
      <c r="B3" s="6">
        <f>C3*战力关系!$B$2+D3*战力关系!$B$3</f>
        <v>30</v>
      </c>
      <c r="C3" s="2">
        <v>3</v>
      </c>
      <c r="D3" s="2">
        <f>C3</f>
        <v>3</v>
      </c>
      <c r="E3" s="2">
        <f>B3</f>
        <v>30</v>
      </c>
      <c r="F3" s="2">
        <f>C3*50</f>
        <v>150</v>
      </c>
      <c r="G3" s="2">
        <f>B3</f>
        <v>30</v>
      </c>
      <c r="H3" s="2">
        <f>C3</f>
        <v>3</v>
      </c>
      <c r="I3" s="2">
        <f>C3*25</f>
        <v>75</v>
      </c>
      <c r="J3" s="2">
        <f>B3</f>
        <v>30</v>
      </c>
      <c r="K3" s="2">
        <f>C3</f>
        <v>3</v>
      </c>
      <c r="L3" s="2">
        <f>C3*25</f>
        <v>75</v>
      </c>
      <c r="M3" s="2">
        <f>B3</f>
        <v>30</v>
      </c>
      <c r="N3" s="2">
        <f>C3</f>
        <v>3</v>
      </c>
      <c r="O3" s="2">
        <f>C3</f>
        <v>3</v>
      </c>
    </row>
    <row r="4" spans="1:15" x14ac:dyDescent="0.2">
      <c r="A4" s="2">
        <v>2</v>
      </c>
      <c r="B4" s="6">
        <f>C4*战力关系!$B$2+D4*战力关系!$B$3</f>
        <v>60</v>
      </c>
      <c r="C4" s="2">
        <v>6</v>
      </c>
      <c r="D4" s="2">
        <f t="shared" ref="D4:D22" si="0">C4</f>
        <v>6</v>
      </c>
      <c r="E4" s="2">
        <f t="shared" ref="E4:E22" si="1">B4</f>
        <v>60</v>
      </c>
      <c r="F4" s="2">
        <f t="shared" ref="F4:F22" si="2">C4*50</f>
        <v>300</v>
      </c>
      <c r="G4" s="2">
        <f t="shared" ref="G4:G22" si="3">B4</f>
        <v>60</v>
      </c>
      <c r="H4" s="2">
        <f t="shared" ref="H4:H22" si="4">C4</f>
        <v>6</v>
      </c>
      <c r="I4" s="2">
        <f t="shared" ref="I4:I22" si="5">C4*25</f>
        <v>150</v>
      </c>
      <c r="J4" s="2">
        <f t="shared" ref="J4:J22" si="6">B4</f>
        <v>60</v>
      </c>
      <c r="K4" s="2">
        <f t="shared" ref="K4:K22" si="7">C4</f>
        <v>6</v>
      </c>
      <c r="L4" s="2">
        <f t="shared" ref="L4:L22" si="8">C4*25</f>
        <v>150</v>
      </c>
      <c r="M4" s="2">
        <f t="shared" ref="M4:M22" si="9">B4</f>
        <v>60</v>
      </c>
      <c r="N4" s="2">
        <f t="shared" ref="N4:N22" si="10">C4</f>
        <v>6</v>
      </c>
      <c r="O4" s="2">
        <f t="shared" ref="O4:O22" si="11">C4</f>
        <v>6</v>
      </c>
    </row>
    <row r="5" spans="1:15" x14ac:dyDescent="0.2">
      <c r="A5" s="2">
        <v>3</v>
      </c>
      <c r="B5" s="6">
        <f>C5*战力关系!$B$2+D5*战力关系!$B$3</f>
        <v>90</v>
      </c>
      <c r="C5" s="2">
        <v>9</v>
      </c>
      <c r="D5" s="2">
        <f t="shared" si="0"/>
        <v>9</v>
      </c>
      <c r="E5" s="2">
        <f t="shared" si="1"/>
        <v>90</v>
      </c>
      <c r="F5" s="2">
        <f t="shared" si="2"/>
        <v>450</v>
      </c>
      <c r="G5" s="2">
        <f t="shared" si="3"/>
        <v>90</v>
      </c>
      <c r="H5" s="2">
        <f t="shared" si="4"/>
        <v>9</v>
      </c>
      <c r="I5" s="2">
        <f t="shared" si="5"/>
        <v>225</v>
      </c>
      <c r="J5" s="2">
        <f t="shared" si="6"/>
        <v>90</v>
      </c>
      <c r="K5" s="2">
        <f t="shared" si="7"/>
        <v>9</v>
      </c>
      <c r="L5" s="2">
        <f t="shared" si="8"/>
        <v>225</v>
      </c>
      <c r="M5" s="2">
        <f t="shared" si="9"/>
        <v>90</v>
      </c>
      <c r="N5" s="2">
        <f t="shared" si="10"/>
        <v>9</v>
      </c>
      <c r="O5" s="2">
        <f t="shared" si="11"/>
        <v>9</v>
      </c>
    </row>
    <row r="6" spans="1:15" x14ac:dyDescent="0.2">
      <c r="A6" s="2">
        <v>4</v>
      </c>
      <c r="B6" s="6">
        <f>C6*战力关系!$B$2+D6*战力关系!$B$3</f>
        <v>120</v>
      </c>
      <c r="C6" s="2">
        <v>12</v>
      </c>
      <c r="D6" s="2">
        <f t="shared" si="0"/>
        <v>12</v>
      </c>
      <c r="E6" s="2">
        <f t="shared" si="1"/>
        <v>120</v>
      </c>
      <c r="F6" s="2">
        <f t="shared" si="2"/>
        <v>600</v>
      </c>
      <c r="G6" s="2">
        <f t="shared" si="3"/>
        <v>120</v>
      </c>
      <c r="H6" s="2">
        <f t="shared" si="4"/>
        <v>12</v>
      </c>
      <c r="I6" s="2">
        <f t="shared" si="5"/>
        <v>300</v>
      </c>
      <c r="J6" s="2">
        <f t="shared" si="6"/>
        <v>120</v>
      </c>
      <c r="K6" s="2">
        <f t="shared" si="7"/>
        <v>12</v>
      </c>
      <c r="L6" s="2">
        <f t="shared" si="8"/>
        <v>300</v>
      </c>
      <c r="M6" s="2">
        <f t="shared" si="9"/>
        <v>120</v>
      </c>
      <c r="N6" s="2">
        <f t="shared" si="10"/>
        <v>12</v>
      </c>
      <c r="O6" s="2">
        <f t="shared" si="11"/>
        <v>12</v>
      </c>
    </row>
    <row r="7" spans="1:15" x14ac:dyDescent="0.2">
      <c r="A7" s="2">
        <v>5</v>
      </c>
      <c r="B7" s="6">
        <f>C7*战力关系!$B$2+D7*战力关系!$B$3</f>
        <v>150</v>
      </c>
      <c r="C7" s="2">
        <v>15</v>
      </c>
      <c r="D7" s="2">
        <f t="shared" si="0"/>
        <v>15</v>
      </c>
      <c r="E7" s="2">
        <f t="shared" si="1"/>
        <v>150</v>
      </c>
      <c r="F7" s="2">
        <f t="shared" si="2"/>
        <v>750</v>
      </c>
      <c r="G7" s="2">
        <f t="shared" si="3"/>
        <v>150</v>
      </c>
      <c r="H7" s="2">
        <f t="shared" si="4"/>
        <v>15</v>
      </c>
      <c r="I7" s="2">
        <f t="shared" si="5"/>
        <v>375</v>
      </c>
      <c r="J7" s="2">
        <f t="shared" si="6"/>
        <v>150</v>
      </c>
      <c r="K7" s="2">
        <f t="shared" si="7"/>
        <v>15</v>
      </c>
      <c r="L7" s="2">
        <f t="shared" si="8"/>
        <v>375</v>
      </c>
      <c r="M7" s="2">
        <f t="shared" si="9"/>
        <v>150</v>
      </c>
      <c r="N7" s="2">
        <f t="shared" si="10"/>
        <v>15</v>
      </c>
      <c r="O7" s="2">
        <f t="shared" si="11"/>
        <v>15</v>
      </c>
    </row>
    <row r="8" spans="1:15" x14ac:dyDescent="0.2">
      <c r="A8" s="2">
        <v>6</v>
      </c>
      <c r="B8" s="6">
        <f>C8*战力关系!$B$2+D8*战力关系!$B$3</f>
        <v>180</v>
      </c>
      <c r="C8" s="2">
        <v>18</v>
      </c>
      <c r="D8" s="2">
        <f t="shared" si="0"/>
        <v>18</v>
      </c>
      <c r="E8" s="2">
        <f t="shared" si="1"/>
        <v>180</v>
      </c>
      <c r="F8" s="2">
        <f t="shared" si="2"/>
        <v>900</v>
      </c>
      <c r="G8" s="2">
        <f t="shared" si="3"/>
        <v>180</v>
      </c>
      <c r="H8" s="2">
        <f t="shared" si="4"/>
        <v>18</v>
      </c>
      <c r="I8" s="2">
        <f t="shared" si="5"/>
        <v>450</v>
      </c>
      <c r="J8" s="2">
        <f t="shared" si="6"/>
        <v>180</v>
      </c>
      <c r="K8" s="2">
        <f t="shared" si="7"/>
        <v>18</v>
      </c>
      <c r="L8" s="2">
        <f t="shared" si="8"/>
        <v>450</v>
      </c>
      <c r="M8" s="2">
        <f t="shared" si="9"/>
        <v>180</v>
      </c>
      <c r="N8" s="2">
        <f t="shared" si="10"/>
        <v>18</v>
      </c>
      <c r="O8" s="2">
        <f t="shared" si="11"/>
        <v>18</v>
      </c>
    </row>
    <row r="9" spans="1:15" x14ac:dyDescent="0.2">
      <c r="A9" s="2">
        <v>7</v>
      </c>
      <c r="B9" s="6">
        <f>C9*战力关系!$B$2+D9*战力关系!$B$3</f>
        <v>210</v>
      </c>
      <c r="C9" s="2">
        <v>21</v>
      </c>
      <c r="D9" s="2">
        <f t="shared" si="0"/>
        <v>21</v>
      </c>
      <c r="E9" s="2">
        <f t="shared" si="1"/>
        <v>210</v>
      </c>
      <c r="F9" s="2">
        <f t="shared" si="2"/>
        <v>1050</v>
      </c>
      <c r="G9" s="2">
        <f t="shared" si="3"/>
        <v>210</v>
      </c>
      <c r="H9" s="2">
        <f t="shared" si="4"/>
        <v>21</v>
      </c>
      <c r="I9" s="2">
        <f t="shared" si="5"/>
        <v>525</v>
      </c>
      <c r="J9" s="2">
        <f t="shared" si="6"/>
        <v>210</v>
      </c>
      <c r="K9" s="2">
        <f t="shared" si="7"/>
        <v>21</v>
      </c>
      <c r="L9" s="2">
        <f t="shared" si="8"/>
        <v>525</v>
      </c>
      <c r="M9" s="2">
        <f t="shared" si="9"/>
        <v>210</v>
      </c>
      <c r="N9" s="2">
        <f t="shared" si="10"/>
        <v>21</v>
      </c>
      <c r="O9" s="2">
        <f t="shared" si="11"/>
        <v>21</v>
      </c>
    </row>
    <row r="10" spans="1:15" x14ac:dyDescent="0.2">
      <c r="A10" s="2">
        <v>8</v>
      </c>
      <c r="B10" s="6">
        <f>C10*战力关系!$B$2+D10*战力关系!$B$3</f>
        <v>240</v>
      </c>
      <c r="C10" s="2">
        <v>24</v>
      </c>
      <c r="D10" s="2">
        <f t="shared" si="0"/>
        <v>24</v>
      </c>
      <c r="E10" s="2">
        <f t="shared" si="1"/>
        <v>240</v>
      </c>
      <c r="F10" s="2">
        <f t="shared" si="2"/>
        <v>1200</v>
      </c>
      <c r="G10" s="2">
        <f t="shared" si="3"/>
        <v>240</v>
      </c>
      <c r="H10" s="2">
        <f t="shared" si="4"/>
        <v>24</v>
      </c>
      <c r="I10" s="2">
        <f t="shared" si="5"/>
        <v>600</v>
      </c>
      <c r="J10" s="2">
        <f t="shared" si="6"/>
        <v>240</v>
      </c>
      <c r="K10" s="2">
        <f t="shared" si="7"/>
        <v>24</v>
      </c>
      <c r="L10" s="2">
        <f t="shared" si="8"/>
        <v>600</v>
      </c>
      <c r="M10" s="2">
        <f t="shared" si="9"/>
        <v>240</v>
      </c>
      <c r="N10" s="2">
        <f t="shared" si="10"/>
        <v>24</v>
      </c>
      <c r="O10" s="2">
        <f t="shared" si="11"/>
        <v>24</v>
      </c>
    </row>
    <row r="11" spans="1:15" x14ac:dyDescent="0.2">
      <c r="A11" s="2">
        <v>9</v>
      </c>
      <c r="B11" s="6">
        <f>C11*战力关系!$B$2+D11*战力关系!$B$3</f>
        <v>270</v>
      </c>
      <c r="C11" s="2">
        <v>27</v>
      </c>
      <c r="D11" s="2">
        <f t="shared" si="0"/>
        <v>27</v>
      </c>
      <c r="E11" s="2">
        <f t="shared" si="1"/>
        <v>270</v>
      </c>
      <c r="F11" s="2">
        <f t="shared" si="2"/>
        <v>1350</v>
      </c>
      <c r="G11" s="2">
        <f t="shared" si="3"/>
        <v>270</v>
      </c>
      <c r="H11" s="2">
        <f t="shared" si="4"/>
        <v>27</v>
      </c>
      <c r="I11" s="2">
        <f t="shared" si="5"/>
        <v>675</v>
      </c>
      <c r="J11" s="2">
        <f t="shared" si="6"/>
        <v>270</v>
      </c>
      <c r="K11" s="2">
        <f t="shared" si="7"/>
        <v>27</v>
      </c>
      <c r="L11" s="2">
        <f t="shared" si="8"/>
        <v>675</v>
      </c>
      <c r="M11" s="2">
        <f t="shared" si="9"/>
        <v>270</v>
      </c>
      <c r="N11" s="2">
        <f t="shared" si="10"/>
        <v>27</v>
      </c>
      <c r="O11" s="2">
        <f t="shared" si="11"/>
        <v>27</v>
      </c>
    </row>
    <row r="12" spans="1:15" x14ac:dyDescent="0.2">
      <c r="A12" s="2">
        <v>10</v>
      </c>
      <c r="B12" s="6">
        <f>C12*战力关系!$B$2+D12*战力关系!$B$3</f>
        <v>300</v>
      </c>
      <c r="C12" s="2">
        <v>30</v>
      </c>
      <c r="D12" s="2">
        <f t="shared" si="0"/>
        <v>30</v>
      </c>
      <c r="E12" s="2">
        <f t="shared" si="1"/>
        <v>300</v>
      </c>
      <c r="F12" s="2">
        <f t="shared" si="2"/>
        <v>1500</v>
      </c>
      <c r="G12" s="2">
        <f t="shared" si="3"/>
        <v>300</v>
      </c>
      <c r="H12" s="2">
        <f t="shared" si="4"/>
        <v>30</v>
      </c>
      <c r="I12" s="2">
        <f t="shared" si="5"/>
        <v>750</v>
      </c>
      <c r="J12" s="2">
        <f t="shared" si="6"/>
        <v>300</v>
      </c>
      <c r="K12" s="2">
        <f t="shared" si="7"/>
        <v>30</v>
      </c>
      <c r="L12" s="2">
        <f t="shared" si="8"/>
        <v>750</v>
      </c>
      <c r="M12" s="2">
        <f t="shared" si="9"/>
        <v>300</v>
      </c>
      <c r="N12" s="2">
        <f t="shared" si="10"/>
        <v>30</v>
      </c>
      <c r="O12" s="2">
        <f t="shared" si="11"/>
        <v>30</v>
      </c>
    </row>
    <row r="13" spans="1:15" x14ac:dyDescent="0.2">
      <c r="A13" s="2">
        <v>11</v>
      </c>
      <c r="B13" s="6">
        <f>C13*战力关系!$B$2+D13*战力关系!$B$3</f>
        <v>330</v>
      </c>
      <c r="C13" s="2">
        <v>33</v>
      </c>
      <c r="D13" s="2">
        <f t="shared" si="0"/>
        <v>33</v>
      </c>
      <c r="E13" s="2">
        <f t="shared" si="1"/>
        <v>330</v>
      </c>
      <c r="F13" s="2">
        <f t="shared" si="2"/>
        <v>1650</v>
      </c>
      <c r="G13" s="2">
        <f t="shared" si="3"/>
        <v>330</v>
      </c>
      <c r="H13" s="2">
        <f t="shared" si="4"/>
        <v>33</v>
      </c>
      <c r="I13" s="2">
        <f t="shared" si="5"/>
        <v>825</v>
      </c>
      <c r="J13" s="2">
        <f t="shared" si="6"/>
        <v>330</v>
      </c>
      <c r="K13" s="2">
        <f t="shared" si="7"/>
        <v>33</v>
      </c>
      <c r="L13" s="2">
        <f t="shared" si="8"/>
        <v>825</v>
      </c>
      <c r="M13" s="2">
        <f t="shared" si="9"/>
        <v>330</v>
      </c>
      <c r="N13" s="2">
        <f t="shared" si="10"/>
        <v>33</v>
      </c>
      <c r="O13" s="2">
        <f t="shared" si="11"/>
        <v>33</v>
      </c>
    </row>
    <row r="14" spans="1:15" x14ac:dyDescent="0.2">
      <c r="A14" s="2">
        <v>12</v>
      </c>
      <c r="B14" s="6">
        <f>C14*战力关系!$B$2+D14*战力关系!$B$3</f>
        <v>360</v>
      </c>
      <c r="C14" s="2">
        <v>36</v>
      </c>
      <c r="D14" s="2">
        <f t="shared" si="0"/>
        <v>36</v>
      </c>
      <c r="E14" s="2">
        <f t="shared" si="1"/>
        <v>360</v>
      </c>
      <c r="F14" s="2">
        <f t="shared" si="2"/>
        <v>1800</v>
      </c>
      <c r="G14" s="2">
        <f t="shared" si="3"/>
        <v>360</v>
      </c>
      <c r="H14" s="2">
        <f t="shared" si="4"/>
        <v>36</v>
      </c>
      <c r="I14" s="2">
        <f t="shared" si="5"/>
        <v>900</v>
      </c>
      <c r="J14" s="2">
        <f t="shared" si="6"/>
        <v>360</v>
      </c>
      <c r="K14" s="2">
        <f t="shared" si="7"/>
        <v>36</v>
      </c>
      <c r="L14" s="2">
        <f t="shared" si="8"/>
        <v>900</v>
      </c>
      <c r="M14" s="2">
        <f t="shared" si="9"/>
        <v>360</v>
      </c>
      <c r="N14" s="2">
        <f t="shared" si="10"/>
        <v>36</v>
      </c>
      <c r="O14" s="2">
        <f t="shared" si="11"/>
        <v>36</v>
      </c>
    </row>
    <row r="15" spans="1:15" x14ac:dyDescent="0.2">
      <c r="A15" s="2">
        <v>13</v>
      </c>
      <c r="B15" s="6">
        <f>C15*战力关系!$B$2+D15*战力关系!$B$3</f>
        <v>390</v>
      </c>
      <c r="C15" s="2">
        <v>39</v>
      </c>
      <c r="D15" s="2">
        <f t="shared" si="0"/>
        <v>39</v>
      </c>
      <c r="E15" s="2">
        <f t="shared" si="1"/>
        <v>390</v>
      </c>
      <c r="F15" s="2">
        <f t="shared" si="2"/>
        <v>1950</v>
      </c>
      <c r="G15" s="2">
        <f t="shared" si="3"/>
        <v>390</v>
      </c>
      <c r="H15" s="2">
        <f t="shared" si="4"/>
        <v>39</v>
      </c>
      <c r="I15" s="2">
        <f t="shared" si="5"/>
        <v>975</v>
      </c>
      <c r="J15" s="2">
        <f t="shared" si="6"/>
        <v>390</v>
      </c>
      <c r="K15" s="2">
        <f t="shared" si="7"/>
        <v>39</v>
      </c>
      <c r="L15" s="2">
        <f t="shared" si="8"/>
        <v>975</v>
      </c>
      <c r="M15" s="2">
        <f t="shared" si="9"/>
        <v>390</v>
      </c>
      <c r="N15" s="2">
        <f t="shared" si="10"/>
        <v>39</v>
      </c>
      <c r="O15" s="2">
        <f t="shared" si="11"/>
        <v>39</v>
      </c>
    </row>
    <row r="16" spans="1:15" x14ac:dyDescent="0.2">
      <c r="A16" s="2">
        <v>14</v>
      </c>
      <c r="B16" s="6">
        <f>C16*战力关系!$B$2+D16*战力关系!$B$3</f>
        <v>420</v>
      </c>
      <c r="C16" s="2">
        <v>42</v>
      </c>
      <c r="D16" s="2">
        <f t="shared" si="0"/>
        <v>42</v>
      </c>
      <c r="E16" s="2">
        <f t="shared" si="1"/>
        <v>420</v>
      </c>
      <c r="F16" s="2">
        <f t="shared" si="2"/>
        <v>2100</v>
      </c>
      <c r="G16" s="2">
        <f t="shared" si="3"/>
        <v>420</v>
      </c>
      <c r="H16" s="2">
        <f t="shared" si="4"/>
        <v>42</v>
      </c>
      <c r="I16" s="2">
        <f t="shared" si="5"/>
        <v>1050</v>
      </c>
      <c r="J16" s="2">
        <f t="shared" si="6"/>
        <v>420</v>
      </c>
      <c r="K16" s="2">
        <f t="shared" si="7"/>
        <v>42</v>
      </c>
      <c r="L16" s="2">
        <f t="shared" si="8"/>
        <v>1050</v>
      </c>
      <c r="M16" s="2">
        <f t="shared" si="9"/>
        <v>420</v>
      </c>
      <c r="N16" s="2">
        <f t="shared" si="10"/>
        <v>42</v>
      </c>
      <c r="O16" s="2">
        <f t="shared" si="11"/>
        <v>42</v>
      </c>
    </row>
    <row r="17" spans="1:15" x14ac:dyDescent="0.2">
      <c r="A17" s="2">
        <v>15</v>
      </c>
      <c r="B17" s="6">
        <f>C17*战力关系!$B$2+D17*战力关系!$B$3</f>
        <v>450</v>
      </c>
      <c r="C17" s="2">
        <v>45</v>
      </c>
      <c r="D17" s="2">
        <f t="shared" si="0"/>
        <v>45</v>
      </c>
      <c r="E17" s="2">
        <f t="shared" si="1"/>
        <v>450</v>
      </c>
      <c r="F17" s="2">
        <f t="shared" si="2"/>
        <v>2250</v>
      </c>
      <c r="G17" s="2">
        <f t="shared" si="3"/>
        <v>450</v>
      </c>
      <c r="H17" s="2">
        <f t="shared" si="4"/>
        <v>45</v>
      </c>
      <c r="I17" s="2">
        <f t="shared" si="5"/>
        <v>1125</v>
      </c>
      <c r="J17" s="2">
        <f t="shared" si="6"/>
        <v>450</v>
      </c>
      <c r="K17" s="2">
        <f t="shared" si="7"/>
        <v>45</v>
      </c>
      <c r="L17" s="2">
        <f t="shared" si="8"/>
        <v>1125</v>
      </c>
      <c r="M17" s="2">
        <f t="shared" si="9"/>
        <v>450</v>
      </c>
      <c r="N17" s="2">
        <f t="shared" si="10"/>
        <v>45</v>
      </c>
      <c r="O17" s="2">
        <f t="shared" si="11"/>
        <v>45</v>
      </c>
    </row>
    <row r="18" spans="1:15" x14ac:dyDescent="0.2">
      <c r="A18" s="2">
        <v>16</v>
      </c>
      <c r="B18" s="6">
        <f>C18*战力关系!$B$2+D18*战力关系!$B$3</f>
        <v>480</v>
      </c>
      <c r="C18" s="2">
        <v>48</v>
      </c>
      <c r="D18" s="2">
        <f t="shared" si="0"/>
        <v>48</v>
      </c>
      <c r="E18" s="2">
        <f t="shared" si="1"/>
        <v>480</v>
      </c>
      <c r="F18" s="2">
        <f t="shared" si="2"/>
        <v>2400</v>
      </c>
      <c r="G18" s="2">
        <f t="shared" si="3"/>
        <v>480</v>
      </c>
      <c r="H18" s="2">
        <f t="shared" si="4"/>
        <v>48</v>
      </c>
      <c r="I18" s="2">
        <f t="shared" si="5"/>
        <v>1200</v>
      </c>
      <c r="J18" s="2">
        <f t="shared" si="6"/>
        <v>480</v>
      </c>
      <c r="K18" s="2">
        <f t="shared" si="7"/>
        <v>48</v>
      </c>
      <c r="L18" s="2">
        <f t="shared" si="8"/>
        <v>1200</v>
      </c>
      <c r="M18" s="2">
        <f t="shared" si="9"/>
        <v>480</v>
      </c>
      <c r="N18" s="2">
        <f t="shared" si="10"/>
        <v>48</v>
      </c>
      <c r="O18" s="2">
        <f t="shared" si="11"/>
        <v>48</v>
      </c>
    </row>
    <row r="19" spans="1:15" x14ac:dyDescent="0.2">
      <c r="A19" s="2">
        <v>17</v>
      </c>
      <c r="B19" s="6">
        <f>C19*战力关系!$B$2+D19*战力关系!$B$3</f>
        <v>510</v>
      </c>
      <c r="C19" s="2">
        <v>51</v>
      </c>
      <c r="D19" s="2">
        <f t="shared" si="0"/>
        <v>51</v>
      </c>
      <c r="E19" s="2">
        <f t="shared" si="1"/>
        <v>510</v>
      </c>
      <c r="F19" s="2">
        <f t="shared" si="2"/>
        <v>2550</v>
      </c>
      <c r="G19" s="2">
        <f t="shared" si="3"/>
        <v>510</v>
      </c>
      <c r="H19" s="2">
        <f t="shared" si="4"/>
        <v>51</v>
      </c>
      <c r="I19" s="2">
        <f t="shared" si="5"/>
        <v>1275</v>
      </c>
      <c r="J19" s="2">
        <f t="shared" si="6"/>
        <v>510</v>
      </c>
      <c r="K19" s="2">
        <f t="shared" si="7"/>
        <v>51</v>
      </c>
      <c r="L19" s="2">
        <f t="shared" si="8"/>
        <v>1275</v>
      </c>
      <c r="M19" s="2">
        <f t="shared" si="9"/>
        <v>510</v>
      </c>
      <c r="N19" s="2">
        <f t="shared" si="10"/>
        <v>51</v>
      </c>
      <c r="O19" s="2">
        <f t="shared" si="11"/>
        <v>51</v>
      </c>
    </row>
    <row r="20" spans="1:15" x14ac:dyDescent="0.2">
      <c r="A20" s="2">
        <v>18</v>
      </c>
      <c r="B20" s="6">
        <f>C20*战力关系!$B$2+D20*战力关系!$B$3</f>
        <v>540</v>
      </c>
      <c r="C20" s="2">
        <v>54</v>
      </c>
      <c r="D20" s="2">
        <f t="shared" si="0"/>
        <v>54</v>
      </c>
      <c r="E20" s="2">
        <f t="shared" si="1"/>
        <v>540</v>
      </c>
      <c r="F20" s="2">
        <f t="shared" si="2"/>
        <v>2700</v>
      </c>
      <c r="G20" s="2">
        <f t="shared" si="3"/>
        <v>540</v>
      </c>
      <c r="H20" s="2">
        <f t="shared" si="4"/>
        <v>54</v>
      </c>
      <c r="I20" s="2">
        <f t="shared" si="5"/>
        <v>1350</v>
      </c>
      <c r="J20" s="2">
        <f t="shared" si="6"/>
        <v>540</v>
      </c>
      <c r="K20" s="2">
        <f t="shared" si="7"/>
        <v>54</v>
      </c>
      <c r="L20" s="2">
        <f t="shared" si="8"/>
        <v>1350</v>
      </c>
      <c r="M20" s="2">
        <f t="shared" si="9"/>
        <v>540</v>
      </c>
      <c r="N20" s="2">
        <f t="shared" si="10"/>
        <v>54</v>
      </c>
      <c r="O20" s="2">
        <f t="shared" si="11"/>
        <v>54</v>
      </c>
    </row>
    <row r="21" spans="1:15" x14ac:dyDescent="0.2">
      <c r="A21" s="2">
        <v>19</v>
      </c>
      <c r="B21" s="6">
        <f>C21*战力关系!$B$2+D21*战力关系!$B$3</f>
        <v>570</v>
      </c>
      <c r="C21" s="2">
        <v>57</v>
      </c>
      <c r="D21" s="2">
        <f t="shared" si="0"/>
        <v>57</v>
      </c>
      <c r="E21" s="2">
        <f t="shared" si="1"/>
        <v>570</v>
      </c>
      <c r="F21" s="2">
        <f t="shared" si="2"/>
        <v>2850</v>
      </c>
      <c r="G21" s="2">
        <f t="shared" si="3"/>
        <v>570</v>
      </c>
      <c r="H21" s="2">
        <f t="shared" si="4"/>
        <v>57</v>
      </c>
      <c r="I21" s="2">
        <f t="shared" si="5"/>
        <v>1425</v>
      </c>
      <c r="J21" s="2">
        <f t="shared" si="6"/>
        <v>570</v>
      </c>
      <c r="K21" s="2">
        <f t="shared" si="7"/>
        <v>57</v>
      </c>
      <c r="L21" s="2">
        <f t="shared" si="8"/>
        <v>1425</v>
      </c>
      <c r="M21" s="2">
        <f t="shared" si="9"/>
        <v>570</v>
      </c>
      <c r="N21" s="2">
        <f t="shared" si="10"/>
        <v>57</v>
      </c>
      <c r="O21" s="2">
        <f t="shared" si="11"/>
        <v>57</v>
      </c>
    </row>
    <row r="22" spans="1:15" x14ac:dyDescent="0.2">
      <c r="A22" s="2">
        <v>20</v>
      </c>
      <c r="B22" s="6">
        <f>C22*战力关系!$B$2+D22*战力关系!$B$3</f>
        <v>600</v>
      </c>
      <c r="C22" s="2">
        <v>60</v>
      </c>
      <c r="D22" s="2">
        <f t="shared" si="0"/>
        <v>60</v>
      </c>
      <c r="E22" s="2">
        <f t="shared" si="1"/>
        <v>600</v>
      </c>
      <c r="F22" s="2">
        <f t="shared" si="2"/>
        <v>3000</v>
      </c>
      <c r="G22" s="2">
        <f t="shared" si="3"/>
        <v>600</v>
      </c>
      <c r="H22" s="2">
        <f t="shared" si="4"/>
        <v>60</v>
      </c>
      <c r="I22" s="2">
        <f t="shared" si="5"/>
        <v>1500</v>
      </c>
      <c r="J22" s="2">
        <f t="shared" si="6"/>
        <v>600</v>
      </c>
      <c r="K22" s="2">
        <f t="shared" si="7"/>
        <v>60</v>
      </c>
      <c r="L22" s="2">
        <f t="shared" si="8"/>
        <v>1500</v>
      </c>
      <c r="M22" s="2">
        <f t="shared" si="9"/>
        <v>600</v>
      </c>
      <c r="N22" s="2">
        <f t="shared" si="10"/>
        <v>60</v>
      </c>
      <c r="O22" s="2">
        <f t="shared" si="11"/>
        <v>60</v>
      </c>
    </row>
  </sheetData>
  <mergeCells count="5">
    <mergeCell ref="B1:D1"/>
    <mergeCell ref="E1:F1"/>
    <mergeCell ref="G1:I1"/>
    <mergeCell ref="J1:L1"/>
    <mergeCell ref="M1:O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5B8D-FF83-4AB8-B0B5-DAAA585A776B}">
  <sheetPr>
    <tabColor rgb="FF00B050"/>
  </sheetPr>
  <dimension ref="A1:AD42"/>
  <sheetViews>
    <sheetView workbookViewId="0">
      <selection activeCell="L18" sqref="L18"/>
    </sheetView>
  </sheetViews>
  <sheetFormatPr defaultRowHeight="14.25" x14ac:dyDescent="0.2"/>
  <sheetData>
    <row r="1" spans="1:30" x14ac:dyDescent="0.2">
      <c r="A1" s="2"/>
      <c r="B1" s="153" t="s">
        <v>90</v>
      </c>
      <c r="C1" s="153"/>
      <c r="D1" s="153"/>
      <c r="E1" s="153"/>
      <c r="F1" s="153"/>
      <c r="G1" s="153"/>
      <c r="H1" s="153"/>
      <c r="I1" s="153"/>
      <c r="J1" s="153"/>
      <c r="K1" s="183" t="s">
        <v>91</v>
      </c>
      <c r="L1" s="183"/>
      <c r="M1" s="183"/>
      <c r="N1" s="183"/>
      <c r="O1" s="183"/>
      <c r="P1" s="183"/>
      <c r="Q1" s="183"/>
      <c r="R1" s="183"/>
      <c r="S1" s="183"/>
      <c r="T1" s="183"/>
      <c r="U1" s="149" t="s">
        <v>92</v>
      </c>
      <c r="V1" s="149"/>
      <c r="W1" s="149"/>
      <c r="X1" s="149"/>
      <c r="Y1" s="149"/>
      <c r="Z1" s="149"/>
      <c r="AA1" s="149"/>
      <c r="AB1" s="149"/>
      <c r="AC1" s="149"/>
      <c r="AD1" s="149"/>
    </row>
    <row r="2" spans="1:30" x14ac:dyDescent="0.2">
      <c r="A2" s="20" t="s">
        <v>33</v>
      </c>
      <c r="B2" s="20" t="s">
        <v>19</v>
      </c>
      <c r="C2" s="5" t="s">
        <v>1</v>
      </c>
      <c r="D2" s="5" t="s">
        <v>4</v>
      </c>
      <c r="E2" s="5" t="s">
        <v>2</v>
      </c>
      <c r="F2" s="5" t="s">
        <v>5</v>
      </c>
      <c r="G2" s="5" t="s">
        <v>3</v>
      </c>
      <c r="H2" s="5" t="s">
        <v>94</v>
      </c>
      <c r="I2" s="5" t="s">
        <v>95</v>
      </c>
      <c r="J2" s="5" t="s">
        <v>96</v>
      </c>
      <c r="K2" s="5" t="s">
        <v>97</v>
      </c>
      <c r="L2" s="5" t="s">
        <v>19</v>
      </c>
      <c r="M2" s="5" t="s">
        <v>1</v>
      </c>
      <c r="N2" s="5" t="s">
        <v>4</v>
      </c>
      <c r="O2" s="5" t="s">
        <v>2</v>
      </c>
      <c r="P2" s="5" t="s">
        <v>5</v>
      </c>
      <c r="Q2" s="5" t="s">
        <v>3</v>
      </c>
      <c r="R2" s="5" t="s">
        <v>94</v>
      </c>
      <c r="S2" s="5" t="s">
        <v>95</v>
      </c>
      <c r="T2" s="5" t="s">
        <v>96</v>
      </c>
      <c r="U2" s="5" t="s">
        <v>97</v>
      </c>
      <c r="V2" s="5" t="s">
        <v>19</v>
      </c>
      <c r="W2" s="5" t="s">
        <v>1</v>
      </c>
      <c r="X2" s="5" t="s">
        <v>4</v>
      </c>
      <c r="Y2" s="5" t="s">
        <v>2</v>
      </c>
      <c r="Z2" s="5" t="s">
        <v>5</v>
      </c>
      <c r="AA2" s="5" t="s">
        <v>3</v>
      </c>
      <c r="AB2" s="5" t="s">
        <v>94</v>
      </c>
      <c r="AC2" s="5" t="s">
        <v>95</v>
      </c>
      <c r="AD2" s="5" t="s">
        <v>96</v>
      </c>
    </row>
    <row r="3" spans="1:30" x14ac:dyDescent="0.2">
      <c r="A3" s="2">
        <v>1</v>
      </c>
      <c r="B3" s="37">
        <f>C3*战力关系!$B$2+D3*战力关系!$B$5+E3*战力关系!$B$3+F3*战力关系!$B$6+G3*战力关系!$B$4</f>
        <v>129</v>
      </c>
      <c r="C3" s="22">
        <v>6</v>
      </c>
      <c r="D3" s="4">
        <f>C3*0.35</f>
        <v>2.0999999999999996</v>
      </c>
      <c r="E3" s="4">
        <f>C3</f>
        <v>6</v>
      </c>
      <c r="F3" s="4">
        <f>D3</f>
        <v>2.0999999999999996</v>
      </c>
      <c r="G3" s="4">
        <f>C3*40</f>
        <v>240</v>
      </c>
      <c r="H3" s="4">
        <f>C3*0.6</f>
        <v>3.5999999999999996</v>
      </c>
      <c r="I3" s="4">
        <f>H3</f>
        <v>3.5999999999999996</v>
      </c>
      <c r="J3" s="4">
        <f>H3*30</f>
        <v>107.99999999999999</v>
      </c>
      <c r="K3" s="35">
        <v>1.3</v>
      </c>
      <c r="L3" s="4">
        <f>B3*$K3</f>
        <v>167.70000000000002</v>
      </c>
      <c r="M3" s="4">
        <f t="shared" ref="M3:T3" si="0">C3*$K3</f>
        <v>7.8000000000000007</v>
      </c>
      <c r="N3" s="4">
        <f t="shared" si="0"/>
        <v>2.7299999999999995</v>
      </c>
      <c r="O3" s="4">
        <f t="shared" si="0"/>
        <v>7.8000000000000007</v>
      </c>
      <c r="P3" s="4">
        <f t="shared" si="0"/>
        <v>2.7299999999999995</v>
      </c>
      <c r="Q3" s="4">
        <f t="shared" si="0"/>
        <v>312</v>
      </c>
      <c r="R3" s="4">
        <f t="shared" si="0"/>
        <v>4.68</v>
      </c>
      <c r="S3" s="4">
        <f t="shared" si="0"/>
        <v>4.68</v>
      </c>
      <c r="T3" s="4">
        <f t="shared" si="0"/>
        <v>140.39999999999998</v>
      </c>
      <c r="U3" s="36">
        <v>1.75</v>
      </c>
      <c r="V3" s="4">
        <f>B3*$U3</f>
        <v>225.75</v>
      </c>
      <c r="W3" s="4">
        <f t="shared" ref="W3:AD3" si="1">C3*$U3</f>
        <v>10.5</v>
      </c>
      <c r="X3" s="4">
        <f t="shared" si="1"/>
        <v>3.6749999999999994</v>
      </c>
      <c r="Y3" s="4">
        <f t="shared" si="1"/>
        <v>10.5</v>
      </c>
      <c r="Z3" s="4">
        <f t="shared" si="1"/>
        <v>3.6749999999999994</v>
      </c>
      <c r="AA3" s="4">
        <f t="shared" si="1"/>
        <v>420</v>
      </c>
      <c r="AB3" s="4">
        <f t="shared" si="1"/>
        <v>6.2999999999999989</v>
      </c>
      <c r="AC3" s="4">
        <f t="shared" si="1"/>
        <v>6.2999999999999989</v>
      </c>
      <c r="AD3" s="4">
        <f t="shared" si="1"/>
        <v>188.99999999999997</v>
      </c>
    </row>
    <row r="4" spans="1:30" x14ac:dyDescent="0.2">
      <c r="A4" s="2">
        <v>2</v>
      </c>
      <c r="B4" s="37">
        <f>C4*战力关系!$B$2+D4*战力关系!$B$5+E4*战力关系!$B$3+F4*战力关系!$B$6+G4*战力关系!$B$4</f>
        <v>150.5</v>
      </c>
      <c r="C4" s="22">
        <v>7</v>
      </c>
      <c r="D4" s="4">
        <f t="shared" ref="D4:D42" si="2">C4*0.35</f>
        <v>2.4499999999999997</v>
      </c>
      <c r="E4" s="4">
        <f t="shared" ref="E4:E42" si="3">C4</f>
        <v>7</v>
      </c>
      <c r="F4" s="4">
        <f t="shared" ref="F4:F42" si="4">D4</f>
        <v>2.4499999999999997</v>
      </c>
      <c r="G4" s="4">
        <f t="shared" ref="G4:G42" si="5">C4*40</f>
        <v>280</v>
      </c>
      <c r="H4" s="4">
        <f t="shared" ref="H4:H42" si="6">C4*0.6</f>
        <v>4.2</v>
      </c>
      <c r="I4" s="4">
        <f t="shared" ref="I4:I42" si="7">H4</f>
        <v>4.2</v>
      </c>
      <c r="J4" s="4">
        <f t="shared" ref="J4:J42" si="8">H4*30</f>
        <v>126</v>
      </c>
      <c r="K4" s="35">
        <v>1.3</v>
      </c>
      <c r="L4" s="4">
        <f t="shared" ref="L4:L42" si="9">B4*$K4</f>
        <v>195.65</v>
      </c>
      <c r="M4" s="4">
        <f t="shared" ref="M4:M42" si="10">C4*$K4</f>
        <v>9.1</v>
      </c>
      <c r="N4" s="4">
        <f t="shared" ref="N4:N42" si="11">D4*$K4</f>
        <v>3.1849999999999996</v>
      </c>
      <c r="O4" s="4">
        <f t="shared" ref="O4:O42" si="12">E4*$K4</f>
        <v>9.1</v>
      </c>
      <c r="P4" s="4">
        <f t="shared" ref="P4:P42" si="13">F4*$K4</f>
        <v>3.1849999999999996</v>
      </c>
      <c r="Q4" s="4">
        <f t="shared" ref="Q4:Q42" si="14">G4*$K4</f>
        <v>364</v>
      </c>
      <c r="R4" s="4">
        <f t="shared" ref="R4:R42" si="15">H4*$K4</f>
        <v>5.4600000000000009</v>
      </c>
      <c r="S4" s="4">
        <f t="shared" ref="S4:S42" si="16">I4*$K4</f>
        <v>5.4600000000000009</v>
      </c>
      <c r="T4" s="4">
        <f t="shared" ref="T4:T42" si="17">J4*$K4</f>
        <v>163.80000000000001</v>
      </c>
      <c r="U4" s="36">
        <v>1.75</v>
      </c>
      <c r="V4" s="4">
        <f t="shared" ref="V4:V42" si="18">B4*$U4</f>
        <v>263.375</v>
      </c>
      <c r="W4" s="4">
        <f t="shared" ref="W4:W42" si="19">C4*$U4</f>
        <v>12.25</v>
      </c>
      <c r="X4" s="4">
        <f t="shared" ref="X4:X42" si="20">D4*$U4</f>
        <v>4.2874999999999996</v>
      </c>
      <c r="Y4" s="4">
        <f t="shared" ref="Y4:Y42" si="21">E4*$U4</f>
        <v>12.25</v>
      </c>
      <c r="Z4" s="4">
        <f t="shared" ref="Z4:Z42" si="22">F4*$U4</f>
        <v>4.2874999999999996</v>
      </c>
      <c r="AA4" s="4">
        <f t="shared" ref="AA4:AA42" si="23">G4*$U4</f>
        <v>490</v>
      </c>
      <c r="AB4" s="4">
        <f t="shared" ref="AB4:AB42" si="24">H4*$U4</f>
        <v>7.3500000000000005</v>
      </c>
      <c r="AC4" s="4">
        <f t="shared" ref="AC4:AC42" si="25">I4*$U4</f>
        <v>7.3500000000000005</v>
      </c>
      <c r="AD4" s="4">
        <f t="shared" ref="AD4:AD42" si="26">J4*$U4</f>
        <v>220.5</v>
      </c>
    </row>
    <row r="5" spans="1:30" x14ac:dyDescent="0.2">
      <c r="A5" s="2">
        <v>3</v>
      </c>
      <c r="B5" s="37">
        <f>C5*战力关系!$B$2+D5*战力关系!$B$5+E5*战力关系!$B$3+F5*战力关系!$B$6+G5*战力关系!$B$4</f>
        <v>172</v>
      </c>
      <c r="C5" s="22">
        <v>8</v>
      </c>
      <c r="D5" s="4">
        <f t="shared" si="2"/>
        <v>2.8</v>
      </c>
      <c r="E5" s="4">
        <f t="shared" si="3"/>
        <v>8</v>
      </c>
      <c r="F5" s="4">
        <f t="shared" si="4"/>
        <v>2.8</v>
      </c>
      <c r="G5" s="4">
        <f t="shared" si="5"/>
        <v>320</v>
      </c>
      <c r="H5" s="4">
        <f t="shared" si="6"/>
        <v>4.8</v>
      </c>
      <c r="I5" s="4">
        <f t="shared" si="7"/>
        <v>4.8</v>
      </c>
      <c r="J5" s="4">
        <f t="shared" si="8"/>
        <v>144</v>
      </c>
      <c r="K5" s="35">
        <v>1.3</v>
      </c>
      <c r="L5" s="4">
        <f t="shared" si="9"/>
        <v>223.6</v>
      </c>
      <c r="M5" s="4">
        <f t="shared" si="10"/>
        <v>10.4</v>
      </c>
      <c r="N5" s="4">
        <f t="shared" si="11"/>
        <v>3.6399999999999997</v>
      </c>
      <c r="O5" s="4">
        <f t="shared" si="12"/>
        <v>10.4</v>
      </c>
      <c r="P5" s="4">
        <f t="shared" si="13"/>
        <v>3.6399999999999997</v>
      </c>
      <c r="Q5" s="4">
        <f t="shared" si="14"/>
        <v>416</v>
      </c>
      <c r="R5" s="4">
        <f t="shared" si="15"/>
        <v>6.24</v>
      </c>
      <c r="S5" s="4">
        <f t="shared" si="16"/>
        <v>6.24</v>
      </c>
      <c r="T5" s="4">
        <f t="shared" si="17"/>
        <v>187.20000000000002</v>
      </c>
      <c r="U5" s="36">
        <v>1.75</v>
      </c>
      <c r="V5" s="4">
        <f t="shared" si="18"/>
        <v>301</v>
      </c>
      <c r="W5" s="4">
        <f t="shared" si="19"/>
        <v>14</v>
      </c>
      <c r="X5" s="4">
        <f t="shared" si="20"/>
        <v>4.8999999999999995</v>
      </c>
      <c r="Y5" s="4">
        <f t="shared" si="21"/>
        <v>14</v>
      </c>
      <c r="Z5" s="4">
        <f t="shared" si="22"/>
        <v>4.8999999999999995</v>
      </c>
      <c r="AA5" s="4">
        <f t="shared" si="23"/>
        <v>560</v>
      </c>
      <c r="AB5" s="4">
        <f t="shared" si="24"/>
        <v>8.4</v>
      </c>
      <c r="AC5" s="4">
        <f t="shared" si="25"/>
        <v>8.4</v>
      </c>
      <c r="AD5" s="4">
        <f t="shared" si="26"/>
        <v>252</v>
      </c>
    </row>
    <row r="6" spans="1:30" x14ac:dyDescent="0.2">
      <c r="A6" s="2">
        <v>4</v>
      </c>
      <c r="B6" s="37">
        <f>C6*战力关系!$B$2+D6*战力关系!$B$5+E6*战力关系!$B$3+F6*战力关系!$B$6+G6*战力关系!$B$4</f>
        <v>193.5</v>
      </c>
      <c r="C6" s="22">
        <v>9</v>
      </c>
      <c r="D6" s="4">
        <f t="shared" si="2"/>
        <v>3.15</v>
      </c>
      <c r="E6" s="4">
        <f t="shared" si="3"/>
        <v>9</v>
      </c>
      <c r="F6" s="4">
        <f t="shared" si="4"/>
        <v>3.15</v>
      </c>
      <c r="G6" s="4">
        <f t="shared" si="5"/>
        <v>360</v>
      </c>
      <c r="H6" s="4">
        <f t="shared" si="6"/>
        <v>5.3999999999999995</v>
      </c>
      <c r="I6" s="4">
        <f t="shared" si="7"/>
        <v>5.3999999999999995</v>
      </c>
      <c r="J6" s="4">
        <f t="shared" si="8"/>
        <v>161.99999999999997</v>
      </c>
      <c r="K6" s="35">
        <v>1.3</v>
      </c>
      <c r="L6" s="4">
        <f t="shared" si="9"/>
        <v>251.55</v>
      </c>
      <c r="M6" s="4">
        <f t="shared" si="10"/>
        <v>11.700000000000001</v>
      </c>
      <c r="N6" s="4">
        <f t="shared" si="11"/>
        <v>4.0949999999999998</v>
      </c>
      <c r="O6" s="4">
        <f t="shared" si="12"/>
        <v>11.700000000000001</v>
      </c>
      <c r="P6" s="4">
        <f t="shared" si="13"/>
        <v>4.0949999999999998</v>
      </c>
      <c r="Q6" s="4">
        <f t="shared" si="14"/>
        <v>468</v>
      </c>
      <c r="R6" s="4">
        <f t="shared" si="15"/>
        <v>7.02</v>
      </c>
      <c r="S6" s="4">
        <f t="shared" si="16"/>
        <v>7.02</v>
      </c>
      <c r="T6" s="4">
        <f t="shared" si="17"/>
        <v>210.59999999999997</v>
      </c>
      <c r="U6" s="36">
        <v>1.75</v>
      </c>
      <c r="V6" s="4">
        <f t="shared" si="18"/>
        <v>338.625</v>
      </c>
      <c r="W6" s="4">
        <f t="shared" si="19"/>
        <v>15.75</v>
      </c>
      <c r="X6" s="4">
        <f t="shared" si="20"/>
        <v>5.5125000000000002</v>
      </c>
      <c r="Y6" s="4">
        <f t="shared" si="21"/>
        <v>15.75</v>
      </c>
      <c r="Z6" s="4">
        <f t="shared" si="22"/>
        <v>5.5125000000000002</v>
      </c>
      <c r="AA6" s="4">
        <f t="shared" si="23"/>
        <v>630</v>
      </c>
      <c r="AB6" s="4">
        <f t="shared" si="24"/>
        <v>9.4499999999999993</v>
      </c>
      <c r="AC6" s="4">
        <f t="shared" si="25"/>
        <v>9.4499999999999993</v>
      </c>
      <c r="AD6" s="4">
        <f t="shared" si="26"/>
        <v>283.49999999999994</v>
      </c>
    </row>
    <row r="7" spans="1:30" x14ac:dyDescent="0.2">
      <c r="A7" s="2">
        <v>5</v>
      </c>
      <c r="B7" s="37">
        <f>C7*战力关系!$B$2+D7*战力关系!$B$5+E7*战力关系!$B$3+F7*战力关系!$B$6+G7*战力关系!$B$4</f>
        <v>236.5</v>
      </c>
      <c r="C7" s="22">
        <v>11</v>
      </c>
      <c r="D7" s="4">
        <f t="shared" si="2"/>
        <v>3.8499999999999996</v>
      </c>
      <c r="E7" s="4">
        <f t="shared" si="3"/>
        <v>11</v>
      </c>
      <c r="F7" s="4">
        <f t="shared" si="4"/>
        <v>3.8499999999999996</v>
      </c>
      <c r="G7" s="4">
        <f t="shared" si="5"/>
        <v>440</v>
      </c>
      <c r="H7" s="4">
        <f t="shared" si="6"/>
        <v>6.6</v>
      </c>
      <c r="I7" s="4">
        <f t="shared" si="7"/>
        <v>6.6</v>
      </c>
      <c r="J7" s="4">
        <f t="shared" si="8"/>
        <v>198</v>
      </c>
      <c r="K7" s="35">
        <v>1.3</v>
      </c>
      <c r="L7" s="4">
        <f t="shared" si="9"/>
        <v>307.45</v>
      </c>
      <c r="M7" s="4">
        <f t="shared" si="10"/>
        <v>14.3</v>
      </c>
      <c r="N7" s="4">
        <f t="shared" si="11"/>
        <v>5.0049999999999999</v>
      </c>
      <c r="O7" s="4">
        <f t="shared" si="12"/>
        <v>14.3</v>
      </c>
      <c r="P7" s="4">
        <f t="shared" si="13"/>
        <v>5.0049999999999999</v>
      </c>
      <c r="Q7" s="4">
        <f t="shared" si="14"/>
        <v>572</v>
      </c>
      <c r="R7" s="4">
        <f t="shared" si="15"/>
        <v>8.58</v>
      </c>
      <c r="S7" s="4">
        <f t="shared" si="16"/>
        <v>8.58</v>
      </c>
      <c r="T7" s="4">
        <f t="shared" si="17"/>
        <v>257.40000000000003</v>
      </c>
      <c r="U7" s="36">
        <v>1.75</v>
      </c>
      <c r="V7" s="4">
        <f t="shared" si="18"/>
        <v>413.875</v>
      </c>
      <c r="W7" s="4">
        <f t="shared" si="19"/>
        <v>19.25</v>
      </c>
      <c r="X7" s="4">
        <f t="shared" si="20"/>
        <v>6.7374999999999989</v>
      </c>
      <c r="Y7" s="4">
        <f t="shared" si="21"/>
        <v>19.25</v>
      </c>
      <c r="Z7" s="4">
        <f t="shared" si="22"/>
        <v>6.7374999999999989</v>
      </c>
      <c r="AA7" s="4">
        <f t="shared" si="23"/>
        <v>770</v>
      </c>
      <c r="AB7" s="4">
        <f t="shared" si="24"/>
        <v>11.549999999999999</v>
      </c>
      <c r="AC7" s="4">
        <f t="shared" si="25"/>
        <v>11.549999999999999</v>
      </c>
      <c r="AD7" s="4">
        <f t="shared" si="26"/>
        <v>346.5</v>
      </c>
    </row>
    <row r="8" spans="1:30" x14ac:dyDescent="0.2">
      <c r="A8" s="2">
        <v>6</v>
      </c>
      <c r="B8" s="37">
        <f>C8*战力关系!$B$2+D8*战力关系!$B$5+E8*战力关系!$B$3+F8*战力关系!$B$6+G8*战力关系!$B$4</f>
        <v>279.5</v>
      </c>
      <c r="C8" s="22">
        <v>13</v>
      </c>
      <c r="D8" s="4">
        <f t="shared" si="2"/>
        <v>4.55</v>
      </c>
      <c r="E8" s="4">
        <f t="shared" si="3"/>
        <v>13</v>
      </c>
      <c r="F8" s="4">
        <f t="shared" si="4"/>
        <v>4.55</v>
      </c>
      <c r="G8" s="4">
        <f t="shared" si="5"/>
        <v>520</v>
      </c>
      <c r="H8" s="4">
        <f t="shared" si="6"/>
        <v>7.8</v>
      </c>
      <c r="I8" s="4">
        <f t="shared" si="7"/>
        <v>7.8</v>
      </c>
      <c r="J8" s="4">
        <f t="shared" si="8"/>
        <v>234</v>
      </c>
      <c r="K8" s="35">
        <v>1.3</v>
      </c>
      <c r="L8" s="4">
        <f t="shared" si="9"/>
        <v>363.35</v>
      </c>
      <c r="M8" s="4">
        <f t="shared" si="10"/>
        <v>16.900000000000002</v>
      </c>
      <c r="N8" s="4">
        <f t="shared" si="11"/>
        <v>5.915</v>
      </c>
      <c r="O8" s="4">
        <f t="shared" si="12"/>
        <v>16.900000000000002</v>
      </c>
      <c r="P8" s="4">
        <f t="shared" si="13"/>
        <v>5.915</v>
      </c>
      <c r="Q8" s="4">
        <f t="shared" si="14"/>
        <v>676</v>
      </c>
      <c r="R8" s="4">
        <f t="shared" si="15"/>
        <v>10.14</v>
      </c>
      <c r="S8" s="4">
        <f t="shared" si="16"/>
        <v>10.14</v>
      </c>
      <c r="T8" s="4">
        <f t="shared" si="17"/>
        <v>304.2</v>
      </c>
      <c r="U8" s="36">
        <v>1.75</v>
      </c>
      <c r="V8" s="4">
        <f t="shared" si="18"/>
        <v>489.125</v>
      </c>
      <c r="W8" s="4">
        <f t="shared" si="19"/>
        <v>22.75</v>
      </c>
      <c r="X8" s="4">
        <f t="shared" si="20"/>
        <v>7.9624999999999995</v>
      </c>
      <c r="Y8" s="4">
        <f t="shared" si="21"/>
        <v>22.75</v>
      </c>
      <c r="Z8" s="4">
        <f t="shared" si="22"/>
        <v>7.9624999999999995</v>
      </c>
      <c r="AA8" s="4">
        <f t="shared" si="23"/>
        <v>910</v>
      </c>
      <c r="AB8" s="4">
        <f t="shared" si="24"/>
        <v>13.65</v>
      </c>
      <c r="AC8" s="4">
        <f t="shared" si="25"/>
        <v>13.65</v>
      </c>
      <c r="AD8" s="4">
        <f t="shared" si="26"/>
        <v>409.5</v>
      </c>
    </row>
    <row r="9" spans="1:30" x14ac:dyDescent="0.2">
      <c r="A9" s="2">
        <v>7</v>
      </c>
      <c r="B9" s="37">
        <f>C9*战力关系!$B$2+D9*战力关系!$B$5+E9*战力关系!$B$3+F9*战力关系!$B$6+G9*战力关系!$B$4</f>
        <v>322.5</v>
      </c>
      <c r="C9" s="22">
        <v>15</v>
      </c>
      <c r="D9" s="4">
        <f t="shared" si="2"/>
        <v>5.25</v>
      </c>
      <c r="E9" s="4">
        <f t="shared" si="3"/>
        <v>15</v>
      </c>
      <c r="F9" s="4">
        <f t="shared" si="4"/>
        <v>5.25</v>
      </c>
      <c r="G9" s="4">
        <f t="shared" si="5"/>
        <v>600</v>
      </c>
      <c r="H9" s="4">
        <f t="shared" si="6"/>
        <v>9</v>
      </c>
      <c r="I9" s="4">
        <f t="shared" si="7"/>
        <v>9</v>
      </c>
      <c r="J9" s="4">
        <f t="shared" si="8"/>
        <v>270</v>
      </c>
      <c r="K9" s="35">
        <v>1.3</v>
      </c>
      <c r="L9" s="4">
        <f t="shared" si="9"/>
        <v>419.25</v>
      </c>
      <c r="M9" s="4">
        <f t="shared" si="10"/>
        <v>19.5</v>
      </c>
      <c r="N9" s="4">
        <f t="shared" si="11"/>
        <v>6.8250000000000002</v>
      </c>
      <c r="O9" s="4">
        <f t="shared" si="12"/>
        <v>19.5</v>
      </c>
      <c r="P9" s="4">
        <f t="shared" si="13"/>
        <v>6.8250000000000002</v>
      </c>
      <c r="Q9" s="4">
        <f t="shared" si="14"/>
        <v>780</v>
      </c>
      <c r="R9" s="4">
        <f t="shared" si="15"/>
        <v>11.700000000000001</v>
      </c>
      <c r="S9" s="4">
        <f t="shared" si="16"/>
        <v>11.700000000000001</v>
      </c>
      <c r="T9" s="4">
        <f t="shared" si="17"/>
        <v>351</v>
      </c>
      <c r="U9" s="36">
        <v>1.75</v>
      </c>
      <c r="V9" s="4">
        <f t="shared" si="18"/>
        <v>564.375</v>
      </c>
      <c r="W9" s="4">
        <f t="shared" si="19"/>
        <v>26.25</v>
      </c>
      <c r="X9" s="4">
        <f t="shared" si="20"/>
        <v>9.1875</v>
      </c>
      <c r="Y9" s="4">
        <f t="shared" si="21"/>
        <v>26.25</v>
      </c>
      <c r="Z9" s="4">
        <f t="shared" si="22"/>
        <v>9.1875</v>
      </c>
      <c r="AA9" s="4">
        <f t="shared" si="23"/>
        <v>1050</v>
      </c>
      <c r="AB9" s="4">
        <f t="shared" si="24"/>
        <v>15.75</v>
      </c>
      <c r="AC9" s="4">
        <f t="shared" si="25"/>
        <v>15.75</v>
      </c>
      <c r="AD9" s="4">
        <f t="shared" si="26"/>
        <v>472.5</v>
      </c>
    </row>
    <row r="10" spans="1:30" x14ac:dyDescent="0.2">
      <c r="A10" s="2">
        <v>8</v>
      </c>
      <c r="B10" s="37">
        <f>C10*战力关系!$B$2+D10*战力关系!$B$5+E10*战力关系!$B$3+F10*战力关系!$B$6+G10*战力关系!$B$4</f>
        <v>344</v>
      </c>
      <c r="C10" s="22">
        <v>16</v>
      </c>
      <c r="D10" s="4">
        <f t="shared" si="2"/>
        <v>5.6</v>
      </c>
      <c r="E10" s="4">
        <f t="shared" si="3"/>
        <v>16</v>
      </c>
      <c r="F10" s="4">
        <f t="shared" si="4"/>
        <v>5.6</v>
      </c>
      <c r="G10" s="4">
        <f t="shared" si="5"/>
        <v>640</v>
      </c>
      <c r="H10" s="4">
        <f t="shared" si="6"/>
        <v>9.6</v>
      </c>
      <c r="I10" s="4">
        <f t="shared" si="7"/>
        <v>9.6</v>
      </c>
      <c r="J10" s="4">
        <f t="shared" si="8"/>
        <v>288</v>
      </c>
      <c r="K10" s="35">
        <v>1.3</v>
      </c>
      <c r="L10" s="4">
        <f t="shared" si="9"/>
        <v>447.2</v>
      </c>
      <c r="M10" s="4">
        <f t="shared" si="10"/>
        <v>20.8</v>
      </c>
      <c r="N10" s="4">
        <f t="shared" si="11"/>
        <v>7.2799999999999994</v>
      </c>
      <c r="O10" s="4">
        <f t="shared" si="12"/>
        <v>20.8</v>
      </c>
      <c r="P10" s="4">
        <f t="shared" si="13"/>
        <v>7.2799999999999994</v>
      </c>
      <c r="Q10" s="4">
        <f t="shared" si="14"/>
        <v>832</v>
      </c>
      <c r="R10" s="4">
        <f t="shared" si="15"/>
        <v>12.48</v>
      </c>
      <c r="S10" s="4">
        <f t="shared" si="16"/>
        <v>12.48</v>
      </c>
      <c r="T10" s="4">
        <f t="shared" si="17"/>
        <v>374.40000000000003</v>
      </c>
      <c r="U10" s="36">
        <v>1.75</v>
      </c>
      <c r="V10" s="4">
        <f t="shared" si="18"/>
        <v>602</v>
      </c>
      <c r="W10" s="4">
        <f t="shared" si="19"/>
        <v>28</v>
      </c>
      <c r="X10" s="4">
        <f t="shared" si="20"/>
        <v>9.7999999999999989</v>
      </c>
      <c r="Y10" s="4">
        <f t="shared" si="21"/>
        <v>28</v>
      </c>
      <c r="Z10" s="4">
        <f t="shared" si="22"/>
        <v>9.7999999999999989</v>
      </c>
      <c r="AA10" s="4">
        <f t="shared" si="23"/>
        <v>1120</v>
      </c>
      <c r="AB10" s="4">
        <f t="shared" si="24"/>
        <v>16.8</v>
      </c>
      <c r="AC10" s="4">
        <f t="shared" si="25"/>
        <v>16.8</v>
      </c>
      <c r="AD10" s="4">
        <f t="shared" si="26"/>
        <v>504</v>
      </c>
    </row>
    <row r="11" spans="1:30" x14ac:dyDescent="0.2">
      <c r="A11" s="2">
        <v>9</v>
      </c>
      <c r="B11" s="37">
        <f>C11*战力关系!$B$2+D11*战力关系!$B$5+E11*战力关系!$B$3+F11*战力关系!$B$6+G11*战力关系!$B$4</f>
        <v>387</v>
      </c>
      <c r="C11" s="22">
        <v>18</v>
      </c>
      <c r="D11" s="4">
        <f t="shared" si="2"/>
        <v>6.3</v>
      </c>
      <c r="E11" s="4">
        <f t="shared" si="3"/>
        <v>18</v>
      </c>
      <c r="F11" s="4">
        <f t="shared" si="4"/>
        <v>6.3</v>
      </c>
      <c r="G11" s="4">
        <f t="shared" si="5"/>
        <v>720</v>
      </c>
      <c r="H11" s="4">
        <f t="shared" si="6"/>
        <v>10.799999999999999</v>
      </c>
      <c r="I11" s="4">
        <f t="shared" si="7"/>
        <v>10.799999999999999</v>
      </c>
      <c r="J11" s="4">
        <f t="shared" si="8"/>
        <v>323.99999999999994</v>
      </c>
      <c r="K11" s="35">
        <v>1.3</v>
      </c>
      <c r="L11" s="4">
        <f t="shared" si="9"/>
        <v>503.1</v>
      </c>
      <c r="M11" s="4">
        <f t="shared" si="10"/>
        <v>23.400000000000002</v>
      </c>
      <c r="N11" s="4">
        <f t="shared" si="11"/>
        <v>8.19</v>
      </c>
      <c r="O11" s="4">
        <f t="shared" si="12"/>
        <v>23.400000000000002</v>
      </c>
      <c r="P11" s="4">
        <f t="shared" si="13"/>
        <v>8.19</v>
      </c>
      <c r="Q11" s="4">
        <f t="shared" si="14"/>
        <v>936</v>
      </c>
      <c r="R11" s="4">
        <f t="shared" si="15"/>
        <v>14.04</v>
      </c>
      <c r="S11" s="4">
        <f t="shared" si="16"/>
        <v>14.04</v>
      </c>
      <c r="T11" s="4">
        <f t="shared" si="17"/>
        <v>421.19999999999993</v>
      </c>
      <c r="U11" s="36">
        <v>1.75</v>
      </c>
      <c r="V11" s="4">
        <f t="shared" si="18"/>
        <v>677.25</v>
      </c>
      <c r="W11" s="4">
        <f t="shared" si="19"/>
        <v>31.5</v>
      </c>
      <c r="X11" s="4">
        <f t="shared" si="20"/>
        <v>11.025</v>
      </c>
      <c r="Y11" s="4">
        <f t="shared" si="21"/>
        <v>31.5</v>
      </c>
      <c r="Z11" s="4">
        <f t="shared" si="22"/>
        <v>11.025</v>
      </c>
      <c r="AA11" s="4">
        <f t="shared" si="23"/>
        <v>1260</v>
      </c>
      <c r="AB11" s="4">
        <f t="shared" si="24"/>
        <v>18.899999999999999</v>
      </c>
      <c r="AC11" s="4">
        <f t="shared" si="25"/>
        <v>18.899999999999999</v>
      </c>
      <c r="AD11" s="4">
        <f t="shared" si="26"/>
        <v>566.99999999999989</v>
      </c>
    </row>
    <row r="12" spans="1:30" x14ac:dyDescent="0.2">
      <c r="A12" s="2">
        <v>10</v>
      </c>
      <c r="B12" s="37">
        <f>C12*战力关系!$B$2+D12*战力关系!$B$5+E12*战力关系!$B$3+F12*战力关系!$B$6+G12*战力关系!$B$4</f>
        <v>430</v>
      </c>
      <c r="C12" s="22">
        <v>20</v>
      </c>
      <c r="D12" s="4">
        <f t="shared" si="2"/>
        <v>7</v>
      </c>
      <c r="E12" s="4">
        <f t="shared" si="3"/>
        <v>20</v>
      </c>
      <c r="F12" s="4">
        <f t="shared" si="4"/>
        <v>7</v>
      </c>
      <c r="G12" s="4">
        <f t="shared" si="5"/>
        <v>800</v>
      </c>
      <c r="H12" s="4">
        <f t="shared" si="6"/>
        <v>12</v>
      </c>
      <c r="I12" s="4">
        <f t="shared" si="7"/>
        <v>12</v>
      </c>
      <c r="J12" s="4">
        <f t="shared" si="8"/>
        <v>360</v>
      </c>
      <c r="K12" s="35">
        <v>1.3</v>
      </c>
      <c r="L12" s="4">
        <f t="shared" si="9"/>
        <v>559</v>
      </c>
      <c r="M12" s="4">
        <f t="shared" si="10"/>
        <v>26</v>
      </c>
      <c r="N12" s="4">
        <f t="shared" si="11"/>
        <v>9.1</v>
      </c>
      <c r="O12" s="4">
        <f t="shared" si="12"/>
        <v>26</v>
      </c>
      <c r="P12" s="4">
        <f t="shared" si="13"/>
        <v>9.1</v>
      </c>
      <c r="Q12" s="4">
        <f t="shared" si="14"/>
        <v>1040</v>
      </c>
      <c r="R12" s="4">
        <f t="shared" si="15"/>
        <v>15.600000000000001</v>
      </c>
      <c r="S12" s="4">
        <f t="shared" si="16"/>
        <v>15.600000000000001</v>
      </c>
      <c r="T12" s="4">
        <f t="shared" si="17"/>
        <v>468</v>
      </c>
      <c r="U12" s="36">
        <v>1.75</v>
      </c>
      <c r="V12" s="4">
        <f t="shared" si="18"/>
        <v>752.5</v>
      </c>
      <c r="W12" s="4">
        <f t="shared" si="19"/>
        <v>35</v>
      </c>
      <c r="X12" s="4">
        <f t="shared" si="20"/>
        <v>12.25</v>
      </c>
      <c r="Y12" s="4">
        <f t="shared" si="21"/>
        <v>35</v>
      </c>
      <c r="Z12" s="4">
        <f t="shared" si="22"/>
        <v>12.25</v>
      </c>
      <c r="AA12" s="4">
        <f t="shared" si="23"/>
        <v>1400</v>
      </c>
      <c r="AB12" s="4">
        <f t="shared" si="24"/>
        <v>21</v>
      </c>
      <c r="AC12" s="4">
        <f t="shared" si="25"/>
        <v>21</v>
      </c>
      <c r="AD12" s="4">
        <f t="shared" si="26"/>
        <v>630</v>
      </c>
    </row>
    <row r="13" spans="1:30" x14ac:dyDescent="0.2">
      <c r="A13" s="2">
        <v>11</v>
      </c>
      <c r="B13" s="37">
        <f>C13*战力关系!$B$2+D13*战力关系!$B$5+E13*战力关系!$B$3+F13*战力关系!$B$6+G13*战力关系!$B$4</f>
        <v>473</v>
      </c>
      <c r="C13" s="22">
        <v>22</v>
      </c>
      <c r="D13" s="4">
        <f t="shared" si="2"/>
        <v>7.6999999999999993</v>
      </c>
      <c r="E13" s="4">
        <f t="shared" si="3"/>
        <v>22</v>
      </c>
      <c r="F13" s="4">
        <f t="shared" si="4"/>
        <v>7.6999999999999993</v>
      </c>
      <c r="G13" s="4">
        <f t="shared" si="5"/>
        <v>880</v>
      </c>
      <c r="H13" s="4">
        <f t="shared" si="6"/>
        <v>13.2</v>
      </c>
      <c r="I13" s="4">
        <f t="shared" si="7"/>
        <v>13.2</v>
      </c>
      <c r="J13" s="4">
        <f t="shared" si="8"/>
        <v>396</v>
      </c>
      <c r="K13" s="35">
        <v>1.3</v>
      </c>
      <c r="L13" s="4">
        <f t="shared" si="9"/>
        <v>614.9</v>
      </c>
      <c r="M13" s="4">
        <f t="shared" si="10"/>
        <v>28.6</v>
      </c>
      <c r="N13" s="4">
        <f t="shared" si="11"/>
        <v>10.01</v>
      </c>
      <c r="O13" s="4">
        <f t="shared" si="12"/>
        <v>28.6</v>
      </c>
      <c r="P13" s="4">
        <f t="shared" si="13"/>
        <v>10.01</v>
      </c>
      <c r="Q13" s="4">
        <f t="shared" si="14"/>
        <v>1144</v>
      </c>
      <c r="R13" s="4">
        <f t="shared" si="15"/>
        <v>17.16</v>
      </c>
      <c r="S13" s="4">
        <f t="shared" si="16"/>
        <v>17.16</v>
      </c>
      <c r="T13" s="4">
        <f t="shared" si="17"/>
        <v>514.80000000000007</v>
      </c>
      <c r="U13" s="36">
        <v>1.75</v>
      </c>
      <c r="V13" s="4">
        <f t="shared" si="18"/>
        <v>827.75</v>
      </c>
      <c r="W13" s="4">
        <f t="shared" si="19"/>
        <v>38.5</v>
      </c>
      <c r="X13" s="4">
        <f t="shared" si="20"/>
        <v>13.474999999999998</v>
      </c>
      <c r="Y13" s="4">
        <f t="shared" si="21"/>
        <v>38.5</v>
      </c>
      <c r="Z13" s="4">
        <f t="shared" si="22"/>
        <v>13.474999999999998</v>
      </c>
      <c r="AA13" s="4">
        <f t="shared" si="23"/>
        <v>1540</v>
      </c>
      <c r="AB13" s="4">
        <f t="shared" si="24"/>
        <v>23.099999999999998</v>
      </c>
      <c r="AC13" s="4">
        <f t="shared" si="25"/>
        <v>23.099999999999998</v>
      </c>
      <c r="AD13" s="4">
        <f t="shared" si="26"/>
        <v>693</v>
      </c>
    </row>
    <row r="14" spans="1:30" x14ac:dyDescent="0.2">
      <c r="A14" s="2">
        <v>12</v>
      </c>
      <c r="B14" s="37">
        <f>C14*战力关系!$B$2+D14*战力关系!$B$5+E14*战力关系!$B$3+F14*战力关系!$B$6+G14*战力关系!$B$4</f>
        <v>516</v>
      </c>
      <c r="C14" s="22">
        <v>24</v>
      </c>
      <c r="D14" s="4">
        <f t="shared" si="2"/>
        <v>8.3999999999999986</v>
      </c>
      <c r="E14" s="4">
        <f t="shared" si="3"/>
        <v>24</v>
      </c>
      <c r="F14" s="4">
        <f t="shared" si="4"/>
        <v>8.3999999999999986</v>
      </c>
      <c r="G14" s="4">
        <f t="shared" si="5"/>
        <v>960</v>
      </c>
      <c r="H14" s="4">
        <f t="shared" si="6"/>
        <v>14.399999999999999</v>
      </c>
      <c r="I14" s="4">
        <f t="shared" si="7"/>
        <v>14.399999999999999</v>
      </c>
      <c r="J14" s="4">
        <f t="shared" si="8"/>
        <v>431.99999999999994</v>
      </c>
      <c r="K14" s="35">
        <v>1.3</v>
      </c>
      <c r="L14" s="4">
        <f t="shared" si="9"/>
        <v>670.80000000000007</v>
      </c>
      <c r="M14" s="4">
        <f t="shared" si="10"/>
        <v>31.200000000000003</v>
      </c>
      <c r="N14" s="4">
        <f t="shared" si="11"/>
        <v>10.919999999999998</v>
      </c>
      <c r="O14" s="4">
        <f t="shared" si="12"/>
        <v>31.200000000000003</v>
      </c>
      <c r="P14" s="4">
        <f t="shared" si="13"/>
        <v>10.919999999999998</v>
      </c>
      <c r="Q14" s="4">
        <f t="shared" si="14"/>
        <v>1248</v>
      </c>
      <c r="R14" s="4">
        <f t="shared" si="15"/>
        <v>18.72</v>
      </c>
      <c r="S14" s="4">
        <f t="shared" si="16"/>
        <v>18.72</v>
      </c>
      <c r="T14" s="4">
        <f t="shared" si="17"/>
        <v>561.59999999999991</v>
      </c>
      <c r="U14" s="36">
        <v>1.75</v>
      </c>
      <c r="V14" s="4">
        <f t="shared" si="18"/>
        <v>903</v>
      </c>
      <c r="W14" s="4">
        <f t="shared" si="19"/>
        <v>42</v>
      </c>
      <c r="X14" s="4">
        <f t="shared" si="20"/>
        <v>14.699999999999998</v>
      </c>
      <c r="Y14" s="4">
        <f t="shared" si="21"/>
        <v>42</v>
      </c>
      <c r="Z14" s="4">
        <f t="shared" si="22"/>
        <v>14.699999999999998</v>
      </c>
      <c r="AA14" s="4">
        <f t="shared" si="23"/>
        <v>1680</v>
      </c>
      <c r="AB14" s="4">
        <f t="shared" si="24"/>
        <v>25.199999999999996</v>
      </c>
      <c r="AC14" s="4">
        <f t="shared" si="25"/>
        <v>25.199999999999996</v>
      </c>
      <c r="AD14" s="4">
        <f t="shared" si="26"/>
        <v>755.99999999999989</v>
      </c>
    </row>
    <row r="15" spans="1:30" x14ac:dyDescent="0.2">
      <c r="A15" s="2">
        <v>13</v>
      </c>
      <c r="B15" s="37">
        <f>C15*战力关系!$B$2+D15*战力关系!$B$5+E15*战力关系!$B$3+F15*战力关系!$B$6+G15*战力关系!$B$4</f>
        <v>537.5</v>
      </c>
      <c r="C15" s="22">
        <v>25</v>
      </c>
      <c r="D15" s="4">
        <f t="shared" si="2"/>
        <v>8.75</v>
      </c>
      <c r="E15" s="4">
        <f t="shared" si="3"/>
        <v>25</v>
      </c>
      <c r="F15" s="4">
        <f t="shared" si="4"/>
        <v>8.75</v>
      </c>
      <c r="G15" s="4">
        <f t="shared" si="5"/>
        <v>1000</v>
      </c>
      <c r="H15" s="4">
        <f t="shared" si="6"/>
        <v>15</v>
      </c>
      <c r="I15" s="4">
        <f t="shared" si="7"/>
        <v>15</v>
      </c>
      <c r="J15" s="4">
        <f t="shared" si="8"/>
        <v>450</v>
      </c>
      <c r="K15" s="35">
        <v>1.3</v>
      </c>
      <c r="L15" s="4">
        <f t="shared" si="9"/>
        <v>698.75</v>
      </c>
      <c r="M15" s="4">
        <f t="shared" si="10"/>
        <v>32.5</v>
      </c>
      <c r="N15" s="4">
        <f t="shared" si="11"/>
        <v>11.375</v>
      </c>
      <c r="O15" s="4">
        <f t="shared" si="12"/>
        <v>32.5</v>
      </c>
      <c r="P15" s="4">
        <f t="shared" si="13"/>
        <v>11.375</v>
      </c>
      <c r="Q15" s="4">
        <f t="shared" si="14"/>
        <v>1300</v>
      </c>
      <c r="R15" s="4">
        <f t="shared" si="15"/>
        <v>19.5</v>
      </c>
      <c r="S15" s="4">
        <f t="shared" si="16"/>
        <v>19.5</v>
      </c>
      <c r="T15" s="4">
        <f t="shared" si="17"/>
        <v>585</v>
      </c>
      <c r="U15" s="36">
        <v>1.75</v>
      </c>
      <c r="V15" s="4">
        <f t="shared" si="18"/>
        <v>940.625</v>
      </c>
      <c r="W15" s="4">
        <f t="shared" si="19"/>
        <v>43.75</v>
      </c>
      <c r="X15" s="4">
        <f t="shared" si="20"/>
        <v>15.3125</v>
      </c>
      <c r="Y15" s="4">
        <f t="shared" si="21"/>
        <v>43.75</v>
      </c>
      <c r="Z15" s="4">
        <f t="shared" si="22"/>
        <v>15.3125</v>
      </c>
      <c r="AA15" s="4">
        <f t="shared" si="23"/>
        <v>1750</v>
      </c>
      <c r="AB15" s="4">
        <f t="shared" si="24"/>
        <v>26.25</v>
      </c>
      <c r="AC15" s="4">
        <f t="shared" si="25"/>
        <v>26.25</v>
      </c>
      <c r="AD15" s="4">
        <f t="shared" si="26"/>
        <v>787.5</v>
      </c>
    </row>
    <row r="16" spans="1:30" x14ac:dyDescent="0.2">
      <c r="A16" s="2">
        <v>14</v>
      </c>
      <c r="B16" s="37">
        <f>C16*战力关系!$B$2+D16*战力关系!$B$5+E16*战力关系!$B$3+F16*战力关系!$B$6+G16*战力关系!$B$4</f>
        <v>580.5</v>
      </c>
      <c r="C16" s="22">
        <v>27</v>
      </c>
      <c r="D16" s="4">
        <f t="shared" si="2"/>
        <v>9.4499999999999993</v>
      </c>
      <c r="E16" s="4">
        <f t="shared" si="3"/>
        <v>27</v>
      </c>
      <c r="F16" s="4">
        <f t="shared" si="4"/>
        <v>9.4499999999999993</v>
      </c>
      <c r="G16" s="4">
        <f t="shared" si="5"/>
        <v>1080</v>
      </c>
      <c r="H16" s="4">
        <f t="shared" si="6"/>
        <v>16.2</v>
      </c>
      <c r="I16" s="4">
        <f t="shared" si="7"/>
        <v>16.2</v>
      </c>
      <c r="J16" s="4">
        <f t="shared" si="8"/>
        <v>486</v>
      </c>
      <c r="K16" s="35">
        <v>1.3</v>
      </c>
      <c r="L16" s="4">
        <f t="shared" si="9"/>
        <v>754.65</v>
      </c>
      <c r="M16" s="4">
        <f t="shared" si="10"/>
        <v>35.1</v>
      </c>
      <c r="N16" s="4">
        <f t="shared" si="11"/>
        <v>12.285</v>
      </c>
      <c r="O16" s="4">
        <f t="shared" si="12"/>
        <v>35.1</v>
      </c>
      <c r="P16" s="4">
        <f t="shared" si="13"/>
        <v>12.285</v>
      </c>
      <c r="Q16" s="4">
        <f t="shared" si="14"/>
        <v>1404</v>
      </c>
      <c r="R16" s="4">
        <f t="shared" si="15"/>
        <v>21.06</v>
      </c>
      <c r="S16" s="4">
        <f t="shared" si="16"/>
        <v>21.06</v>
      </c>
      <c r="T16" s="4">
        <f t="shared" si="17"/>
        <v>631.80000000000007</v>
      </c>
      <c r="U16" s="36">
        <v>1.75</v>
      </c>
      <c r="V16" s="4">
        <f t="shared" si="18"/>
        <v>1015.875</v>
      </c>
      <c r="W16" s="4">
        <f t="shared" si="19"/>
        <v>47.25</v>
      </c>
      <c r="X16" s="4">
        <f t="shared" si="20"/>
        <v>16.537499999999998</v>
      </c>
      <c r="Y16" s="4">
        <f t="shared" si="21"/>
        <v>47.25</v>
      </c>
      <c r="Z16" s="4">
        <f t="shared" si="22"/>
        <v>16.537499999999998</v>
      </c>
      <c r="AA16" s="4">
        <f t="shared" si="23"/>
        <v>1890</v>
      </c>
      <c r="AB16" s="4">
        <f t="shared" si="24"/>
        <v>28.349999999999998</v>
      </c>
      <c r="AC16" s="4">
        <f t="shared" si="25"/>
        <v>28.349999999999998</v>
      </c>
      <c r="AD16" s="4">
        <f t="shared" si="26"/>
        <v>850.5</v>
      </c>
    </row>
    <row r="17" spans="1:30" x14ac:dyDescent="0.2">
      <c r="A17" s="2">
        <v>15</v>
      </c>
      <c r="B17" s="37">
        <f>C17*战力关系!$B$2+D17*战力关系!$B$5+E17*战力关系!$B$3+F17*战力关系!$B$6+G17*战力关系!$B$4</f>
        <v>623.5</v>
      </c>
      <c r="C17" s="22">
        <v>29</v>
      </c>
      <c r="D17" s="4">
        <f t="shared" si="2"/>
        <v>10.149999999999999</v>
      </c>
      <c r="E17" s="4">
        <f t="shared" si="3"/>
        <v>29</v>
      </c>
      <c r="F17" s="4">
        <f t="shared" si="4"/>
        <v>10.149999999999999</v>
      </c>
      <c r="G17" s="4">
        <f t="shared" si="5"/>
        <v>1160</v>
      </c>
      <c r="H17" s="4">
        <f t="shared" si="6"/>
        <v>17.399999999999999</v>
      </c>
      <c r="I17" s="4">
        <f t="shared" si="7"/>
        <v>17.399999999999999</v>
      </c>
      <c r="J17" s="4">
        <f t="shared" si="8"/>
        <v>522</v>
      </c>
      <c r="K17" s="35">
        <v>1.3</v>
      </c>
      <c r="L17" s="4">
        <f t="shared" si="9"/>
        <v>810.55000000000007</v>
      </c>
      <c r="M17" s="4">
        <f t="shared" si="10"/>
        <v>37.700000000000003</v>
      </c>
      <c r="N17" s="4">
        <f t="shared" si="11"/>
        <v>13.194999999999999</v>
      </c>
      <c r="O17" s="4">
        <f t="shared" si="12"/>
        <v>37.700000000000003</v>
      </c>
      <c r="P17" s="4">
        <f t="shared" si="13"/>
        <v>13.194999999999999</v>
      </c>
      <c r="Q17" s="4">
        <f t="shared" si="14"/>
        <v>1508</v>
      </c>
      <c r="R17" s="4">
        <f t="shared" si="15"/>
        <v>22.619999999999997</v>
      </c>
      <c r="S17" s="4">
        <f t="shared" si="16"/>
        <v>22.619999999999997</v>
      </c>
      <c r="T17" s="4">
        <f t="shared" si="17"/>
        <v>678.6</v>
      </c>
      <c r="U17" s="36">
        <v>1.75</v>
      </c>
      <c r="V17" s="4">
        <f t="shared" si="18"/>
        <v>1091.125</v>
      </c>
      <c r="W17" s="4">
        <f t="shared" si="19"/>
        <v>50.75</v>
      </c>
      <c r="X17" s="4">
        <f t="shared" si="20"/>
        <v>17.762499999999996</v>
      </c>
      <c r="Y17" s="4">
        <f t="shared" si="21"/>
        <v>50.75</v>
      </c>
      <c r="Z17" s="4">
        <f t="shared" si="22"/>
        <v>17.762499999999996</v>
      </c>
      <c r="AA17" s="4">
        <f t="shared" si="23"/>
        <v>2030</v>
      </c>
      <c r="AB17" s="4">
        <f t="shared" si="24"/>
        <v>30.449999999999996</v>
      </c>
      <c r="AC17" s="4">
        <f t="shared" si="25"/>
        <v>30.449999999999996</v>
      </c>
      <c r="AD17" s="4">
        <f t="shared" si="26"/>
        <v>913.5</v>
      </c>
    </row>
    <row r="18" spans="1:30" x14ac:dyDescent="0.2">
      <c r="A18" s="2">
        <v>16</v>
      </c>
      <c r="B18" s="37">
        <f>C18*战力关系!$B$2+D18*战力关系!$B$5+E18*战力关系!$B$3+F18*战力关系!$B$6+G18*战力关系!$B$4</f>
        <v>666.5</v>
      </c>
      <c r="C18" s="22">
        <v>31</v>
      </c>
      <c r="D18" s="4">
        <f t="shared" si="2"/>
        <v>10.85</v>
      </c>
      <c r="E18" s="4">
        <f t="shared" si="3"/>
        <v>31</v>
      </c>
      <c r="F18" s="4">
        <f t="shared" si="4"/>
        <v>10.85</v>
      </c>
      <c r="G18" s="4">
        <f t="shared" si="5"/>
        <v>1240</v>
      </c>
      <c r="H18" s="4">
        <f t="shared" si="6"/>
        <v>18.599999999999998</v>
      </c>
      <c r="I18" s="4">
        <f t="shared" si="7"/>
        <v>18.599999999999998</v>
      </c>
      <c r="J18" s="4">
        <f t="shared" si="8"/>
        <v>557.99999999999989</v>
      </c>
      <c r="K18" s="35">
        <v>1.3</v>
      </c>
      <c r="L18" s="4">
        <f t="shared" si="9"/>
        <v>866.45</v>
      </c>
      <c r="M18" s="4">
        <f t="shared" si="10"/>
        <v>40.300000000000004</v>
      </c>
      <c r="N18" s="4">
        <f t="shared" si="11"/>
        <v>14.105</v>
      </c>
      <c r="O18" s="4">
        <f t="shared" si="12"/>
        <v>40.300000000000004</v>
      </c>
      <c r="P18" s="4">
        <f t="shared" si="13"/>
        <v>14.105</v>
      </c>
      <c r="Q18" s="4">
        <f t="shared" si="14"/>
        <v>1612</v>
      </c>
      <c r="R18" s="4">
        <f t="shared" si="15"/>
        <v>24.18</v>
      </c>
      <c r="S18" s="4">
        <f t="shared" si="16"/>
        <v>24.18</v>
      </c>
      <c r="T18" s="4">
        <f t="shared" si="17"/>
        <v>725.39999999999986</v>
      </c>
      <c r="U18" s="36">
        <v>1.75</v>
      </c>
      <c r="V18" s="4">
        <f t="shared" si="18"/>
        <v>1166.375</v>
      </c>
      <c r="W18" s="4">
        <f t="shared" si="19"/>
        <v>54.25</v>
      </c>
      <c r="X18" s="4">
        <f t="shared" si="20"/>
        <v>18.987500000000001</v>
      </c>
      <c r="Y18" s="4">
        <f t="shared" si="21"/>
        <v>54.25</v>
      </c>
      <c r="Z18" s="4">
        <f t="shared" si="22"/>
        <v>18.987500000000001</v>
      </c>
      <c r="AA18" s="4">
        <f t="shared" si="23"/>
        <v>2170</v>
      </c>
      <c r="AB18" s="4">
        <f t="shared" si="24"/>
        <v>32.549999999999997</v>
      </c>
      <c r="AC18" s="4">
        <f t="shared" si="25"/>
        <v>32.549999999999997</v>
      </c>
      <c r="AD18" s="4">
        <f t="shared" si="26"/>
        <v>976.49999999999977</v>
      </c>
    </row>
    <row r="19" spans="1:30" x14ac:dyDescent="0.2">
      <c r="A19" s="2">
        <v>17</v>
      </c>
      <c r="B19" s="37">
        <f>C19*战力关系!$B$2+D19*战力关系!$B$5+E19*战力关系!$B$3+F19*战力关系!$B$6+G19*战力关系!$B$4</f>
        <v>709.5</v>
      </c>
      <c r="C19" s="22">
        <v>33</v>
      </c>
      <c r="D19" s="4">
        <f t="shared" si="2"/>
        <v>11.549999999999999</v>
      </c>
      <c r="E19" s="4">
        <f t="shared" si="3"/>
        <v>33</v>
      </c>
      <c r="F19" s="4">
        <f t="shared" si="4"/>
        <v>11.549999999999999</v>
      </c>
      <c r="G19" s="4">
        <f t="shared" si="5"/>
        <v>1320</v>
      </c>
      <c r="H19" s="4">
        <f t="shared" si="6"/>
        <v>19.8</v>
      </c>
      <c r="I19" s="4">
        <f t="shared" si="7"/>
        <v>19.8</v>
      </c>
      <c r="J19" s="4">
        <f t="shared" si="8"/>
        <v>594</v>
      </c>
      <c r="K19" s="35">
        <v>1.3</v>
      </c>
      <c r="L19" s="4">
        <f t="shared" si="9"/>
        <v>922.35</v>
      </c>
      <c r="M19" s="4">
        <f t="shared" si="10"/>
        <v>42.9</v>
      </c>
      <c r="N19" s="4">
        <f t="shared" si="11"/>
        <v>15.014999999999999</v>
      </c>
      <c r="O19" s="4">
        <f t="shared" si="12"/>
        <v>42.9</v>
      </c>
      <c r="P19" s="4">
        <f t="shared" si="13"/>
        <v>15.014999999999999</v>
      </c>
      <c r="Q19" s="4">
        <f t="shared" si="14"/>
        <v>1716</v>
      </c>
      <c r="R19" s="4">
        <f t="shared" si="15"/>
        <v>25.740000000000002</v>
      </c>
      <c r="S19" s="4">
        <f t="shared" si="16"/>
        <v>25.740000000000002</v>
      </c>
      <c r="T19" s="4">
        <f t="shared" si="17"/>
        <v>772.2</v>
      </c>
      <c r="U19" s="36">
        <v>1.75</v>
      </c>
      <c r="V19" s="4">
        <f t="shared" si="18"/>
        <v>1241.625</v>
      </c>
      <c r="W19" s="4">
        <f t="shared" si="19"/>
        <v>57.75</v>
      </c>
      <c r="X19" s="4">
        <f t="shared" si="20"/>
        <v>20.212499999999999</v>
      </c>
      <c r="Y19" s="4">
        <f t="shared" si="21"/>
        <v>57.75</v>
      </c>
      <c r="Z19" s="4">
        <f t="shared" si="22"/>
        <v>20.212499999999999</v>
      </c>
      <c r="AA19" s="4">
        <f t="shared" si="23"/>
        <v>2310</v>
      </c>
      <c r="AB19" s="4">
        <f t="shared" si="24"/>
        <v>34.65</v>
      </c>
      <c r="AC19" s="4">
        <f t="shared" si="25"/>
        <v>34.65</v>
      </c>
      <c r="AD19" s="4">
        <f t="shared" si="26"/>
        <v>1039.5</v>
      </c>
    </row>
    <row r="20" spans="1:30" x14ac:dyDescent="0.2">
      <c r="A20" s="2">
        <v>18</v>
      </c>
      <c r="B20" s="37">
        <f>C20*战力关系!$B$2+D20*战力关系!$B$5+E20*战力关系!$B$3+F20*战力关系!$B$6+G20*战力关系!$B$4</f>
        <v>731</v>
      </c>
      <c r="C20" s="22">
        <v>34</v>
      </c>
      <c r="D20" s="4">
        <f t="shared" si="2"/>
        <v>11.899999999999999</v>
      </c>
      <c r="E20" s="4">
        <f t="shared" si="3"/>
        <v>34</v>
      </c>
      <c r="F20" s="4">
        <f t="shared" si="4"/>
        <v>11.899999999999999</v>
      </c>
      <c r="G20" s="4">
        <f t="shared" si="5"/>
        <v>1360</v>
      </c>
      <c r="H20" s="4">
        <f t="shared" si="6"/>
        <v>20.399999999999999</v>
      </c>
      <c r="I20" s="4">
        <f t="shared" si="7"/>
        <v>20.399999999999999</v>
      </c>
      <c r="J20" s="4">
        <f t="shared" si="8"/>
        <v>612</v>
      </c>
      <c r="K20" s="35">
        <v>1.3</v>
      </c>
      <c r="L20" s="4">
        <f t="shared" si="9"/>
        <v>950.30000000000007</v>
      </c>
      <c r="M20" s="4">
        <f t="shared" si="10"/>
        <v>44.2</v>
      </c>
      <c r="N20" s="4">
        <f t="shared" si="11"/>
        <v>15.469999999999999</v>
      </c>
      <c r="O20" s="4">
        <f t="shared" si="12"/>
        <v>44.2</v>
      </c>
      <c r="P20" s="4">
        <f t="shared" si="13"/>
        <v>15.469999999999999</v>
      </c>
      <c r="Q20" s="4">
        <f t="shared" si="14"/>
        <v>1768</v>
      </c>
      <c r="R20" s="4">
        <f t="shared" si="15"/>
        <v>26.52</v>
      </c>
      <c r="S20" s="4">
        <f t="shared" si="16"/>
        <v>26.52</v>
      </c>
      <c r="T20" s="4">
        <f t="shared" si="17"/>
        <v>795.6</v>
      </c>
      <c r="U20" s="36">
        <v>1.75</v>
      </c>
      <c r="V20" s="4">
        <f t="shared" si="18"/>
        <v>1279.25</v>
      </c>
      <c r="W20" s="4">
        <f t="shared" si="19"/>
        <v>59.5</v>
      </c>
      <c r="X20" s="4">
        <f t="shared" si="20"/>
        <v>20.824999999999996</v>
      </c>
      <c r="Y20" s="4">
        <f t="shared" si="21"/>
        <v>59.5</v>
      </c>
      <c r="Z20" s="4">
        <f t="shared" si="22"/>
        <v>20.824999999999996</v>
      </c>
      <c r="AA20" s="4">
        <f t="shared" si="23"/>
        <v>2380</v>
      </c>
      <c r="AB20" s="4">
        <f t="shared" si="24"/>
        <v>35.699999999999996</v>
      </c>
      <c r="AC20" s="4">
        <f t="shared" si="25"/>
        <v>35.699999999999996</v>
      </c>
      <c r="AD20" s="4">
        <f t="shared" si="26"/>
        <v>1071</v>
      </c>
    </row>
    <row r="21" spans="1:30" x14ac:dyDescent="0.2">
      <c r="A21" s="2">
        <v>19</v>
      </c>
      <c r="B21" s="37">
        <f>C21*战力关系!$B$2+D21*战力关系!$B$5+E21*战力关系!$B$3+F21*战力关系!$B$6+G21*战力关系!$B$4</f>
        <v>774</v>
      </c>
      <c r="C21" s="22">
        <v>36</v>
      </c>
      <c r="D21" s="4">
        <f t="shared" si="2"/>
        <v>12.6</v>
      </c>
      <c r="E21" s="4">
        <f t="shared" si="3"/>
        <v>36</v>
      </c>
      <c r="F21" s="4">
        <f t="shared" si="4"/>
        <v>12.6</v>
      </c>
      <c r="G21" s="4">
        <f t="shared" si="5"/>
        <v>1440</v>
      </c>
      <c r="H21" s="4">
        <f t="shared" si="6"/>
        <v>21.599999999999998</v>
      </c>
      <c r="I21" s="4">
        <f t="shared" si="7"/>
        <v>21.599999999999998</v>
      </c>
      <c r="J21" s="4">
        <f t="shared" si="8"/>
        <v>647.99999999999989</v>
      </c>
      <c r="K21" s="35">
        <v>1.3</v>
      </c>
      <c r="L21" s="4">
        <f t="shared" si="9"/>
        <v>1006.2</v>
      </c>
      <c r="M21" s="4">
        <f t="shared" si="10"/>
        <v>46.800000000000004</v>
      </c>
      <c r="N21" s="4">
        <f t="shared" si="11"/>
        <v>16.38</v>
      </c>
      <c r="O21" s="4">
        <f t="shared" si="12"/>
        <v>46.800000000000004</v>
      </c>
      <c r="P21" s="4">
        <f t="shared" si="13"/>
        <v>16.38</v>
      </c>
      <c r="Q21" s="4">
        <f t="shared" si="14"/>
        <v>1872</v>
      </c>
      <c r="R21" s="4">
        <f t="shared" si="15"/>
        <v>28.08</v>
      </c>
      <c r="S21" s="4">
        <f t="shared" si="16"/>
        <v>28.08</v>
      </c>
      <c r="T21" s="4">
        <f t="shared" si="17"/>
        <v>842.39999999999986</v>
      </c>
      <c r="U21" s="36">
        <v>1.75</v>
      </c>
      <c r="V21" s="4">
        <f t="shared" si="18"/>
        <v>1354.5</v>
      </c>
      <c r="W21" s="4">
        <f t="shared" si="19"/>
        <v>63</v>
      </c>
      <c r="X21" s="4">
        <f t="shared" si="20"/>
        <v>22.05</v>
      </c>
      <c r="Y21" s="4">
        <f t="shared" si="21"/>
        <v>63</v>
      </c>
      <c r="Z21" s="4">
        <f t="shared" si="22"/>
        <v>22.05</v>
      </c>
      <c r="AA21" s="4">
        <f t="shared" si="23"/>
        <v>2520</v>
      </c>
      <c r="AB21" s="4">
        <f t="shared" si="24"/>
        <v>37.799999999999997</v>
      </c>
      <c r="AC21" s="4">
        <f t="shared" si="25"/>
        <v>37.799999999999997</v>
      </c>
      <c r="AD21" s="4">
        <f t="shared" si="26"/>
        <v>1133.9999999999998</v>
      </c>
    </row>
    <row r="22" spans="1:30" x14ac:dyDescent="0.2">
      <c r="A22" s="2">
        <v>20</v>
      </c>
      <c r="B22" s="37">
        <f>C22*战力关系!$B$2+D22*战力关系!$B$5+E22*战力关系!$B$3+F22*战力关系!$B$6+G22*战力关系!$B$4</f>
        <v>817</v>
      </c>
      <c r="C22" s="22">
        <v>38</v>
      </c>
      <c r="D22" s="4">
        <f t="shared" si="2"/>
        <v>13.299999999999999</v>
      </c>
      <c r="E22" s="4">
        <f t="shared" si="3"/>
        <v>38</v>
      </c>
      <c r="F22" s="4">
        <f t="shared" si="4"/>
        <v>13.299999999999999</v>
      </c>
      <c r="G22" s="4">
        <f t="shared" si="5"/>
        <v>1520</v>
      </c>
      <c r="H22" s="4">
        <f t="shared" si="6"/>
        <v>22.8</v>
      </c>
      <c r="I22" s="4">
        <f t="shared" si="7"/>
        <v>22.8</v>
      </c>
      <c r="J22" s="4">
        <f t="shared" si="8"/>
        <v>684</v>
      </c>
      <c r="K22" s="35">
        <v>1.3</v>
      </c>
      <c r="L22" s="4">
        <f t="shared" si="9"/>
        <v>1062.1000000000001</v>
      </c>
      <c r="M22" s="4">
        <f t="shared" si="10"/>
        <v>49.4</v>
      </c>
      <c r="N22" s="4">
        <f t="shared" si="11"/>
        <v>17.29</v>
      </c>
      <c r="O22" s="4">
        <f t="shared" si="12"/>
        <v>49.4</v>
      </c>
      <c r="P22" s="4">
        <f t="shared" si="13"/>
        <v>17.29</v>
      </c>
      <c r="Q22" s="4">
        <f t="shared" si="14"/>
        <v>1976</v>
      </c>
      <c r="R22" s="4">
        <f t="shared" si="15"/>
        <v>29.64</v>
      </c>
      <c r="S22" s="4">
        <f t="shared" si="16"/>
        <v>29.64</v>
      </c>
      <c r="T22" s="4">
        <f t="shared" si="17"/>
        <v>889.2</v>
      </c>
      <c r="U22" s="36">
        <v>1.75</v>
      </c>
      <c r="V22" s="4">
        <f t="shared" si="18"/>
        <v>1429.75</v>
      </c>
      <c r="W22" s="4">
        <f t="shared" si="19"/>
        <v>66.5</v>
      </c>
      <c r="X22" s="4">
        <f t="shared" si="20"/>
        <v>23.274999999999999</v>
      </c>
      <c r="Y22" s="4">
        <f t="shared" si="21"/>
        <v>66.5</v>
      </c>
      <c r="Z22" s="4">
        <f t="shared" si="22"/>
        <v>23.274999999999999</v>
      </c>
      <c r="AA22" s="4">
        <f t="shared" si="23"/>
        <v>2660</v>
      </c>
      <c r="AB22" s="4">
        <f t="shared" si="24"/>
        <v>39.9</v>
      </c>
      <c r="AC22" s="4">
        <f t="shared" si="25"/>
        <v>39.9</v>
      </c>
      <c r="AD22" s="4">
        <f t="shared" si="26"/>
        <v>1197</v>
      </c>
    </row>
    <row r="23" spans="1:30" x14ac:dyDescent="0.2">
      <c r="A23" s="2">
        <v>21</v>
      </c>
      <c r="B23" s="37">
        <f>C23*战力关系!$B$2+D23*战力关系!$B$5+E23*战力关系!$B$3+F23*战力关系!$B$6+G23*战力关系!$B$4</f>
        <v>860</v>
      </c>
      <c r="C23" s="22">
        <v>40</v>
      </c>
      <c r="D23" s="4">
        <f t="shared" si="2"/>
        <v>14</v>
      </c>
      <c r="E23" s="4">
        <f t="shared" si="3"/>
        <v>40</v>
      </c>
      <c r="F23" s="4">
        <f t="shared" si="4"/>
        <v>14</v>
      </c>
      <c r="G23" s="4">
        <f t="shared" si="5"/>
        <v>1600</v>
      </c>
      <c r="H23" s="4">
        <f t="shared" si="6"/>
        <v>24</v>
      </c>
      <c r="I23" s="4">
        <f t="shared" si="7"/>
        <v>24</v>
      </c>
      <c r="J23" s="4">
        <f t="shared" si="8"/>
        <v>720</v>
      </c>
      <c r="K23" s="35">
        <v>1.3</v>
      </c>
      <c r="L23" s="4">
        <f t="shared" si="9"/>
        <v>1118</v>
      </c>
      <c r="M23" s="4">
        <f t="shared" si="10"/>
        <v>52</v>
      </c>
      <c r="N23" s="4">
        <f t="shared" si="11"/>
        <v>18.2</v>
      </c>
      <c r="O23" s="4">
        <f t="shared" si="12"/>
        <v>52</v>
      </c>
      <c r="P23" s="4">
        <f t="shared" si="13"/>
        <v>18.2</v>
      </c>
      <c r="Q23" s="4">
        <f t="shared" si="14"/>
        <v>2080</v>
      </c>
      <c r="R23" s="4">
        <f t="shared" si="15"/>
        <v>31.200000000000003</v>
      </c>
      <c r="S23" s="4">
        <f t="shared" si="16"/>
        <v>31.200000000000003</v>
      </c>
      <c r="T23" s="4">
        <f t="shared" si="17"/>
        <v>936</v>
      </c>
      <c r="U23" s="36">
        <v>1.75</v>
      </c>
      <c r="V23" s="4">
        <f t="shared" si="18"/>
        <v>1505</v>
      </c>
      <c r="W23" s="4">
        <f t="shared" si="19"/>
        <v>70</v>
      </c>
      <c r="X23" s="4">
        <f t="shared" si="20"/>
        <v>24.5</v>
      </c>
      <c r="Y23" s="4">
        <f t="shared" si="21"/>
        <v>70</v>
      </c>
      <c r="Z23" s="4">
        <f t="shared" si="22"/>
        <v>24.5</v>
      </c>
      <c r="AA23" s="4">
        <f t="shared" si="23"/>
        <v>2800</v>
      </c>
      <c r="AB23" s="4">
        <f t="shared" si="24"/>
        <v>42</v>
      </c>
      <c r="AC23" s="4">
        <f t="shared" si="25"/>
        <v>42</v>
      </c>
      <c r="AD23" s="4">
        <f t="shared" si="26"/>
        <v>1260</v>
      </c>
    </row>
    <row r="24" spans="1:30" x14ac:dyDescent="0.2">
      <c r="A24" s="2">
        <v>22</v>
      </c>
      <c r="B24" s="37">
        <f>C24*战力关系!$B$2+D24*战力关系!$B$5+E24*战力关系!$B$3+F24*战力关系!$B$6+G24*战力关系!$B$4</f>
        <v>903</v>
      </c>
      <c r="C24" s="22">
        <v>42</v>
      </c>
      <c r="D24" s="4">
        <f t="shared" si="2"/>
        <v>14.7</v>
      </c>
      <c r="E24" s="4">
        <f t="shared" si="3"/>
        <v>42</v>
      </c>
      <c r="F24" s="4">
        <f t="shared" si="4"/>
        <v>14.7</v>
      </c>
      <c r="G24" s="4">
        <f t="shared" si="5"/>
        <v>1680</v>
      </c>
      <c r="H24" s="4">
        <f t="shared" si="6"/>
        <v>25.2</v>
      </c>
      <c r="I24" s="4">
        <f t="shared" si="7"/>
        <v>25.2</v>
      </c>
      <c r="J24" s="4">
        <f t="shared" si="8"/>
        <v>756</v>
      </c>
      <c r="K24" s="35">
        <v>1.3</v>
      </c>
      <c r="L24" s="4">
        <f t="shared" si="9"/>
        <v>1173.9000000000001</v>
      </c>
      <c r="M24" s="4">
        <f t="shared" si="10"/>
        <v>54.6</v>
      </c>
      <c r="N24" s="4">
        <f t="shared" si="11"/>
        <v>19.11</v>
      </c>
      <c r="O24" s="4">
        <f t="shared" si="12"/>
        <v>54.6</v>
      </c>
      <c r="P24" s="4">
        <f t="shared" si="13"/>
        <v>19.11</v>
      </c>
      <c r="Q24" s="4">
        <f t="shared" si="14"/>
        <v>2184</v>
      </c>
      <c r="R24" s="4">
        <f t="shared" si="15"/>
        <v>32.76</v>
      </c>
      <c r="S24" s="4">
        <f t="shared" si="16"/>
        <v>32.76</v>
      </c>
      <c r="T24" s="4">
        <f t="shared" si="17"/>
        <v>982.80000000000007</v>
      </c>
      <c r="U24" s="36">
        <v>1.75</v>
      </c>
      <c r="V24" s="4">
        <f t="shared" si="18"/>
        <v>1580.25</v>
      </c>
      <c r="W24" s="4">
        <f t="shared" si="19"/>
        <v>73.5</v>
      </c>
      <c r="X24" s="4">
        <f t="shared" si="20"/>
        <v>25.724999999999998</v>
      </c>
      <c r="Y24" s="4">
        <f t="shared" si="21"/>
        <v>73.5</v>
      </c>
      <c r="Z24" s="4">
        <f t="shared" si="22"/>
        <v>25.724999999999998</v>
      </c>
      <c r="AA24" s="4">
        <f t="shared" si="23"/>
        <v>2940</v>
      </c>
      <c r="AB24" s="4">
        <f t="shared" si="24"/>
        <v>44.1</v>
      </c>
      <c r="AC24" s="4">
        <f t="shared" si="25"/>
        <v>44.1</v>
      </c>
      <c r="AD24" s="4">
        <f t="shared" si="26"/>
        <v>1323</v>
      </c>
    </row>
    <row r="25" spans="1:30" x14ac:dyDescent="0.2">
      <c r="A25" s="2">
        <v>23</v>
      </c>
      <c r="B25" s="37">
        <f>C25*战力关系!$B$2+D25*战力关系!$B$5+E25*战力关系!$B$3+F25*战力关系!$B$6+G25*战力关系!$B$4</f>
        <v>924.5</v>
      </c>
      <c r="C25" s="22">
        <v>43</v>
      </c>
      <c r="D25" s="4">
        <f t="shared" si="2"/>
        <v>15.049999999999999</v>
      </c>
      <c r="E25" s="4">
        <f t="shared" si="3"/>
        <v>43</v>
      </c>
      <c r="F25" s="4">
        <f t="shared" si="4"/>
        <v>15.049999999999999</v>
      </c>
      <c r="G25" s="4">
        <f t="shared" si="5"/>
        <v>1720</v>
      </c>
      <c r="H25" s="4">
        <f t="shared" si="6"/>
        <v>25.8</v>
      </c>
      <c r="I25" s="4">
        <f t="shared" si="7"/>
        <v>25.8</v>
      </c>
      <c r="J25" s="4">
        <f t="shared" si="8"/>
        <v>774</v>
      </c>
      <c r="K25" s="35">
        <v>1.3</v>
      </c>
      <c r="L25" s="4">
        <f t="shared" si="9"/>
        <v>1201.8500000000001</v>
      </c>
      <c r="M25" s="4">
        <f t="shared" si="10"/>
        <v>55.9</v>
      </c>
      <c r="N25" s="4">
        <f t="shared" si="11"/>
        <v>19.564999999999998</v>
      </c>
      <c r="O25" s="4">
        <f t="shared" si="12"/>
        <v>55.9</v>
      </c>
      <c r="P25" s="4">
        <f t="shared" si="13"/>
        <v>19.564999999999998</v>
      </c>
      <c r="Q25" s="4">
        <f t="shared" si="14"/>
        <v>2236</v>
      </c>
      <c r="R25" s="4">
        <f t="shared" si="15"/>
        <v>33.54</v>
      </c>
      <c r="S25" s="4">
        <f t="shared" si="16"/>
        <v>33.54</v>
      </c>
      <c r="T25" s="4">
        <f t="shared" si="17"/>
        <v>1006.2</v>
      </c>
      <c r="U25" s="36">
        <v>1.75</v>
      </c>
      <c r="V25" s="4">
        <f t="shared" si="18"/>
        <v>1617.875</v>
      </c>
      <c r="W25" s="4">
        <f t="shared" si="19"/>
        <v>75.25</v>
      </c>
      <c r="X25" s="4">
        <f t="shared" si="20"/>
        <v>26.337499999999999</v>
      </c>
      <c r="Y25" s="4">
        <f t="shared" si="21"/>
        <v>75.25</v>
      </c>
      <c r="Z25" s="4">
        <f t="shared" si="22"/>
        <v>26.337499999999999</v>
      </c>
      <c r="AA25" s="4">
        <f t="shared" si="23"/>
        <v>3010</v>
      </c>
      <c r="AB25" s="4">
        <f t="shared" si="24"/>
        <v>45.15</v>
      </c>
      <c r="AC25" s="4">
        <f t="shared" si="25"/>
        <v>45.15</v>
      </c>
      <c r="AD25" s="4">
        <f t="shared" si="26"/>
        <v>1354.5</v>
      </c>
    </row>
    <row r="26" spans="1:30" x14ac:dyDescent="0.2">
      <c r="A26" s="2">
        <v>24</v>
      </c>
      <c r="B26" s="37">
        <f>C26*战力关系!$B$2+D26*战力关系!$B$5+E26*战力关系!$B$3+F26*战力关系!$B$6+G26*战力关系!$B$4</f>
        <v>967.5</v>
      </c>
      <c r="C26" s="22">
        <v>45</v>
      </c>
      <c r="D26" s="4">
        <f t="shared" si="2"/>
        <v>15.749999999999998</v>
      </c>
      <c r="E26" s="4">
        <f t="shared" si="3"/>
        <v>45</v>
      </c>
      <c r="F26" s="4">
        <f t="shared" si="4"/>
        <v>15.749999999999998</v>
      </c>
      <c r="G26" s="4">
        <f t="shared" si="5"/>
        <v>1800</v>
      </c>
      <c r="H26" s="4">
        <f t="shared" si="6"/>
        <v>27</v>
      </c>
      <c r="I26" s="4">
        <f t="shared" si="7"/>
        <v>27</v>
      </c>
      <c r="J26" s="4">
        <f t="shared" si="8"/>
        <v>810</v>
      </c>
      <c r="K26" s="35">
        <v>1.3</v>
      </c>
      <c r="L26" s="4">
        <f t="shared" si="9"/>
        <v>1257.75</v>
      </c>
      <c r="M26" s="4">
        <f t="shared" si="10"/>
        <v>58.5</v>
      </c>
      <c r="N26" s="4">
        <f t="shared" si="11"/>
        <v>20.474999999999998</v>
      </c>
      <c r="O26" s="4">
        <f t="shared" si="12"/>
        <v>58.5</v>
      </c>
      <c r="P26" s="4">
        <f t="shared" si="13"/>
        <v>20.474999999999998</v>
      </c>
      <c r="Q26" s="4">
        <f t="shared" si="14"/>
        <v>2340</v>
      </c>
      <c r="R26" s="4">
        <f t="shared" si="15"/>
        <v>35.1</v>
      </c>
      <c r="S26" s="4">
        <f t="shared" si="16"/>
        <v>35.1</v>
      </c>
      <c r="T26" s="4">
        <f t="shared" si="17"/>
        <v>1053</v>
      </c>
      <c r="U26" s="36">
        <v>1.75</v>
      </c>
      <c r="V26" s="4">
        <f t="shared" si="18"/>
        <v>1693.125</v>
      </c>
      <c r="W26" s="4">
        <f t="shared" si="19"/>
        <v>78.75</v>
      </c>
      <c r="X26" s="4">
        <f t="shared" si="20"/>
        <v>27.562499999999996</v>
      </c>
      <c r="Y26" s="4">
        <f t="shared" si="21"/>
        <v>78.75</v>
      </c>
      <c r="Z26" s="4">
        <f t="shared" si="22"/>
        <v>27.562499999999996</v>
      </c>
      <c r="AA26" s="4">
        <f t="shared" si="23"/>
        <v>3150</v>
      </c>
      <c r="AB26" s="4">
        <f t="shared" si="24"/>
        <v>47.25</v>
      </c>
      <c r="AC26" s="4">
        <f t="shared" si="25"/>
        <v>47.25</v>
      </c>
      <c r="AD26" s="4">
        <f t="shared" si="26"/>
        <v>1417.5</v>
      </c>
    </row>
    <row r="27" spans="1:30" x14ac:dyDescent="0.2">
      <c r="A27" s="2">
        <v>25</v>
      </c>
      <c r="B27" s="37">
        <f>C27*战力关系!$B$2+D27*战力关系!$B$5+E27*战力关系!$B$3+F27*战力关系!$B$6+G27*战力关系!$B$4</f>
        <v>1010.5</v>
      </c>
      <c r="C27" s="22">
        <v>47</v>
      </c>
      <c r="D27" s="4">
        <f t="shared" si="2"/>
        <v>16.45</v>
      </c>
      <c r="E27" s="4">
        <f t="shared" si="3"/>
        <v>47</v>
      </c>
      <c r="F27" s="4">
        <f t="shared" si="4"/>
        <v>16.45</v>
      </c>
      <c r="G27" s="4">
        <f t="shared" si="5"/>
        <v>1880</v>
      </c>
      <c r="H27" s="4">
        <f t="shared" si="6"/>
        <v>28.2</v>
      </c>
      <c r="I27" s="4">
        <f t="shared" si="7"/>
        <v>28.2</v>
      </c>
      <c r="J27" s="4">
        <f t="shared" si="8"/>
        <v>846</v>
      </c>
      <c r="K27" s="35">
        <v>1.3</v>
      </c>
      <c r="L27" s="4">
        <f t="shared" si="9"/>
        <v>1313.65</v>
      </c>
      <c r="M27" s="4">
        <f t="shared" si="10"/>
        <v>61.1</v>
      </c>
      <c r="N27" s="4">
        <f t="shared" si="11"/>
        <v>21.385000000000002</v>
      </c>
      <c r="O27" s="4">
        <f t="shared" si="12"/>
        <v>61.1</v>
      </c>
      <c r="P27" s="4">
        <f t="shared" si="13"/>
        <v>21.385000000000002</v>
      </c>
      <c r="Q27" s="4">
        <f t="shared" si="14"/>
        <v>2444</v>
      </c>
      <c r="R27" s="4">
        <f t="shared" si="15"/>
        <v>36.660000000000004</v>
      </c>
      <c r="S27" s="4">
        <f t="shared" si="16"/>
        <v>36.660000000000004</v>
      </c>
      <c r="T27" s="4">
        <f t="shared" si="17"/>
        <v>1099.8</v>
      </c>
      <c r="U27" s="36">
        <v>1.75</v>
      </c>
      <c r="V27" s="4">
        <f t="shared" si="18"/>
        <v>1768.375</v>
      </c>
      <c r="W27" s="4">
        <f t="shared" si="19"/>
        <v>82.25</v>
      </c>
      <c r="X27" s="4">
        <f t="shared" si="20"/>
        <v>28.787499999999998</v>
      </c>
      <c r="Y27" s="4">
        <f t="shared" si="21"/>
        <v>82.25</v>
      </c>
      <c r="Z27" s="4">
        <f t="shared" si="22"/>
        <v>28.787499999999998</v>
      </c>
      <c r="AA27" s="4">
        <f t="shared" si="23"/>
        <v>3290</v>
      </c>
      <c r="AB27" s="4">
        <f t="shared" si="24"/>
        <v>49.35</v>
      </c>
      <c r="AC27" s="4">
        <f t="shared" si="25"/>
        <v>49.35</v>
      </c>
      <c r="AD27" s="4">
        <f t="shared" si="26"/>
        <v>1480.5</v>
      </c>
    </row>
    <row r="28" spans="1:30" x14ac:dyDescent="0.2">
      <c r="A28" s="2">
        <v>26</v>
      </c>
      <c r="B28" s="37">
        <f>C28*战力关系!$B$2+D28*战力关系!$B$5+E28*战力关系!$B$3+F28*战力关系!$B$6+G28*战力关系!$B$4</f>
        <v>1053.5</v>
      </c>
      <c r="C28" s="22">
        <v>49</v>
      </c>
      <c r="D28" s="4">
        <f t="shared" si="2"/>
        <v>17.149999999999999</v>
      </c>
      <c r="E28" s="4">
        <f t="shared" si="3"/>
        <v>49</v>
      </c>
      <c r="F28" s="4">
        <f t="shared" si="4"/>
        <v>17.149999999999999</v>
      </c>
      <c r="G28" s="4">
        <f t="shared" si="5"/>
        <v>1960</v>
      </c>
      <c r="H28" s="4">
        <f t="shared" si="6"/>
        <v>29.4</v>
      </c>
      <c r="I28" s="4">
        <f t="shared" si="7"/>
        <v>29.4</v>
      </c>
      <c r="J28" s="4">
        <f t="shared" si="8"/>
        <v>882</v>
      </c>
      <c r="K28" s="35">
        <v>1.3</v>
      </c>
      <c r="L28" s="4">
        <f t="shared" si="9"/>
        <v>1369.55</v>
      </c>
      <c r="M28" s="4">
        <f t="shared" si="10"/>
        <v>63.7</v>
      </c>
      <c r="N28" s="4">
        <f t="shared" si="11"/>
        <v>22.294999999999998</v>
      </c>
      <c r="O28" s="4">
        <f t="shared" si="12"/>
        <v>63.7</v>
      </c>
      <c r="P28" s="4">
        <f t="shared" si="13"/>
        <v>22.294999999999998</v>
      </c>
      <c r="Q28" s="4">
        <f t="shared" si="14"/>
        <v>2548</v>
      </c>
      <c r="R28" s="4">
        <f t="shared" si="15"/>
        <v>38.22</v>
      </c>
      <c r="S28" s="4">
        <f t="shared" si="16"/>
        <v>38.22</v>
      </c>
      <c r="T28" s="4">
        <f t="shared" si="17"/>
        <v>1146.6000000000001</v>
      </c>
      <c r="U28" s="36">
        <v>1.75</v>
      </c>
      <c r="V28" s="4">
        <f t="shared" si="18"/>
        <v>1843.625</v>
      </c>
      <c r="W28" s="4">
        <f t="shared" si="19"/>
        <v>85.75</v>
      </c>
      <c r="X28" s="4">
        <f t="shared" si="20"/>
        <v>30.012499999999996</v>
      </c>
      <c r="Y28" s="4">
        <f t="shared" si="21"/>
        <v>85.75</v>
      </c>
      <c r="Z28" s="4">
        <f t="shared" si="22"/>
        <v>30.012499999999996</v>
      </c>
      <c r="AA28" s="4">
        <f t="shared" si="23"/>
        <v>3430</v>
      </c>
      <c r="AB28" s="4">
        <f t="shared" si="24"/>
        <v>51.449999999999996</v>
      </c>
      <c r="AC28" s="4">
        <f t="shared" si="25"/>
        <v>51.449999999999996</v>
      </c>
      <c r="AD28" s="4">
        <f t="shared" si="26"/>
        <v>1543.5</v>
      </c>
    </row>
    <row r="29" spans="1:30" x14ac:dyDescent="0.2">
      <c r="A29" s="2">
        <v>27</v>
      </c>
      <c r="B29" s="37">
        <f>C29*战力关系!$B$2+D29*战力关系!$B$5+E29*战力关系!$B$3+F29*战力关系!$B$6+G29*战力关系!$B$4</f>
        <v>1096.5</v>
      </c>
      <c r="C29" s="22">
        <v>51</v>
      </c>
      <c r="D29" s="4">
        <f t="shared" si="2"/>
        <v>17.849999999999998</v>
      </c>
      <c r="E29" s="4">
        <f t="shared" si="3"/>
        <v>51</v>
      </c>
      <c r="F29" s="4">
        <f t="shared" si="4"/>
        <v>17.849999999999998</v>
      </c>
      <c r="G29" s="4">
        <f t="shared" si="5"/>
        <v>2040</v>
      </c>
      <c r="H29" s="4">
        <f t="shared" si="6"/>
        <v>30.599999999999998</v>
      </c>
      <c r="I29" s="4">
        <f t="shared" si="7"/>
        <v>30.599999999999998</v>
      </c>
      <c r="J29" s="4">
        <f t="shared" si="8"/>
        <v>917.99999999999989</v>
      </c>
      <c r="K29" s="35">
        <v>1.3</v>
      </c>
      <c r="L29" s="4">
        <f t="shared" si="9"/>
        <v>1425.45</v>
      </c>
      <c r="M29" s="4">
        <f t="shared" si="10"/>
        <v>66.3</v>
      </c>
      <c r="N29" s="4">
        <f t="shared" si="11"/>
        <v>23.204999999999998</v>
      </c>
      <c r="O29" s="4">
        <f t="shared" si="12"/>
        <v>66.3</v>
      </c>
      <c r="P29" s="4">
        <f t="shared" si="13"/>
        <v>23.204999999999998</v>
      </c>
      <c r="Q29" s="4">
        <f t="shared" si="14"/>
        <v>2652</v>
      </c>
      <c r="R29" s="4">
        <f t="shared" si="15"/>
        <v>39.78</v>
      </c>
      <c r="S29" s="4">
        <f t="shared" si="16"/>
        <v>39.78</v>
      </c>
      <c r="T29" s="4">
        <f t="shared" si="17"/>
        <v>1193.3999999999999</v>
      </c>
      <c r="U29" s="36">
        <v>1.75</v>
      </c>
      <c r="V29" s="4">
        <f t="shared" si="18"/>
        <v>1918.875</v>
      </c>
      <c r="W29" s="4">
        <f t="shared" si="19"/>
        <v>89.25</v>
      </c>
      <c r="X29" s="4">
        <f t="shared" si="20"/>
        <v>31.237499999999997</v>
      </c>
      <c r="Y29" s="4">
        <f t="shared" si="21"/>
        <v>89.25</v>
      </c>
      <c r="Z29" s="4">
        <f t="shared" si="22"/>
        <v>31.237499999999997</v>
      </c>
      <c r="AA29" s="4">
        <f t="shared" si="23"/>
        <v>3570</v>
      </c>
      <c r="AB29" s="4">
        <f t="shared" si="24"/>
        <v>53.55</v>
      </c>
      <c r="AC29" s="4">
        <f t="shared" si="25"/>
        <v>53.55</v>
      </c>
      <c r="AD29" s="4">
        <f t="shared" si="26"/>
        <v>1606.4999999999998</v>
      </c>
    </row>
    <row r="30" spans="1:30" x14ac:dyDescent="0.2">
      <c r="A30" s="2">
        <v>28</v>
      </c>
      <c r="B30" s="37">
        <f>C30*战力关系!$B$2+D30*战力关系!$B$5+E30*战力关系!$B$3+F30*战力关系!$B$6+G30*战力关系!$B$4</f>
        <v>1118</v>
      </c>
      <c r="C30" s="22">
        <v>52</v>
      </c>
      <c r="D30" s="4">
        <f t="shared" si="2"/>
        <v>18.2</v>
      </c>
      <c r="E30" s="4">
        <f t="shared" si="3"/>
        <v>52</v>
      </c>
      <c r="F30" s="4">
        <f t="shared" si="4"/>
        <v>18.2</v>
      </c>
      <c r="G30" s="4">
        <f t="shared" si="5"/>
        <v>2080</v>
      </c>
      <c r="H30" s="4">
        <f t="shared" si="6"/>
        <v>31.2</v>
      </c>
      <c r="I30" s="4">
        <f t="shared" si="7"/>
        <v>31.2</v>
      </c>
      <c r="J30" s="4">
        <f t="shared" si="8"/>
        <v>936</v>
      </c>
      <c r="K30" s="35">
        <v>1.3</v>
      </c>
      <c r="L30" s="4">
        <f t="shared" si="9"/>
        <v>1453.4</v>
      </c>
      <c r="M30" s="4">
        <f t="shared" si="10"/>
        <v>67.600000000000009</v>
      </c>
      <c r="N30" s="4">
        <f t="shared" si="11"/>
        <v>23.66</v>
      </c>
      <c r="O30" s="4">
        <f t="shared" si="12"/>
        <v>67.600000000000009</v>
      </c>
      <c r="P30" s="4">
        <f t="shared" si="13"/>
        <v>23.66</v>
      </c>
      <c r="Q30" s="4">
        <f t="shared" si="14"/>
        <v>2704</v>
      </c>
      <c r="R30" s="4">
        <f t="shared" si="15"/>
        <v>40.56</v>
      </c>
      <c r="S30" s="4">
        <f t="shared" si="16"/>
        <v>40.56</v>
      </c>
      <c r="T30" s="4">
        <f t="shared" si="17"/>
        <v>1216.8</v>
      </c>
      <c r="U30" s="36">
        <v>1.75</v>
      </c>
      <c r="V30" s="4">
        <f t="shared" si="18"/>
        <v>1956.5</v>
      </c>
      <c r="W30" s="4">
        <f t="shared" si="19"/>
        <v>91</v>
      </c>
      <c r="X30" s="4">
        <f t="shared" si="20"/>
        <v>31.849999999999998</v>
      </c>
      <c r="Y30" s="4">
        <f t="shared" si="21"/>
        <v>91</v>
      </c>
      <c r="Z30" s="4">
        <f t="shared" si="22"/>
        <v>31.849999999999998</v>
      </c>
      <c r="AA30" s="4">
        <f t="shared" si="23"/>
        <v>3640</v>
      </c>
      <c r="AB30" s="4">
        <f t="shared" si="24"/>
        <v>54.6</v>
      </c>
      <c r="AC30" s="4">
        <f t="shared" si="25"/>
        <v>54.6</v>
      </c>
      <c r="AD30" s="4">
        <f t="shared" si="26"/>
        <v>1638</v>
      </c>
    </row>
    <row r="31" spans="1:30" x14ac:dyDescent="0.2">
      <c r="A31" s="2">
        <v>29</v>
      </c>
      <c r="B31" s="37">
        <f>C31*战力关系!$B$2+D31*战力关系!$B$5+E31*战力关系!$B$3+F31*战力关系!$B$6+G31*战力关系!$B$4</f>
        <v>1161</v>
      </c>
      <c r="C31" s="22">
        <v>54</v>
      </c>
      <c r="D31" s="4">
        <f t="shared" si="2"/>
        <v>18.899999999999999</v>
      </c>
      <c r="E31" s="4">
        <f t="shared" si="3"/>
        <v>54</v>
      </c>
      <c r="F31" s="4">
        <f t="shared" si="4"/>
        <v>18.899999999999999</v>
      </c>
      <c r="G31" s="4">
        <f t="shared" si="5"/>
        <v>2160</v>
      </c>
      <c r="H31" s="4">
        <f t="shared" si="6"/>
        <v>32.4</v>
      </c>
      <c r="I31" s="4">
        <f t="shared" si="7"/>
        <v>32.4</v>
      </c>
      <c r="J31" s="4">
        <f t="shared" si="8"/>
        <v>972</v>
      </c>
      <c r="K31" s="35">
        <v>1.3</v>
      </c>
      <c r="L31" s="4">
        <f t="shared" si="9"/>
        <v>1509.3</v>
      </c>
      <c r="M31" s="4">
        <f t="shared" si="10"/>
        <v>70.2</v>
      </c>
      <c r="N31" s="4">
        <f t="shared" si="11"/>
        <v>24.57</v>
      </c>
      <c r="O31" s="4">
        <f t="shared" si="12"/>
        <v>70.2</v>
      </c>
      <c r="P31" s="4">
        <f t="shared" si="13"/>
        <v>24.57</v>
      </c>
      <c r="Q31" s="4">
        <f t="shared" si="14"/>
        <v>2808</v>
      </c>
      <c r="R31" s="4">
        <f t="shared" si="15"/>
        <v>42.12</v>
      </c>
      <c r="S31" s="4">
        <f t="shared" si="16"/>
        <v>42.12</v>
      </c>
      <c r="T31" s="4">
        <f t="shared" si="17"/>
        <v>1263.6000000000001</v>
      </c>
      <c r="U31" s="36">
        <v>1.75</v>
      </c>
      <c r="V31" s="4">
        <f t="shared" si="18"/>
        <v>2031.75</v>
      </c>
      <c r="W31" s="4">
        <f t="shared" si="19"/>
        <v>94.5</v>
      </c>
      <c r="X31" s="4">
        <f t="shared" si="20"/>
        <v>33.074999999999996</v>
      </c>
      <c r="Y31" s="4">
        <f t="shared" si="21"/>
        <v>94.5</v>
      </c>
      <c r="Z31" s="4">
        <f t="shared" si="22"/>
        <v>33.074999999999996</v>
      </c>
      <c r="AA31" s="4">
        <f t="shared" si="23"/>
        <v>3780</v>
      </c>
      <c r="AB31" s="4">
        <f t="shared" si="24"/>
        <v>56.699999999999996</v>
      </c>
      <c r="AC31" s="4">
        <f t="shared" si="25"/>
        <v>56.699999999999996</v>
      </c>
      <c r="AD31" s="4">
        <f t="shared" si="26"/>
        <v>1701</v>
      </c>
    </row>
    <row r="32" spans="1:30" x14ac:dyDescent="0.2">
      <c r="A32" s="2">
        <v>30</v>
      </c>
      <c r="B32" s="37">
        <f>C32*战力关系!$B$2+D32*战力关系!$B$5+E32*战力关系!$B$3+F32*战力关系!$B$6+G32*战力关系!$B$4</f>
        <v>1204</v>
      </c>
      <c r="C32" s="22">
        <v>56</v>
      </c>
      <c r="D32" s="4">
        <f t="shared" si="2"/>
        <v>19.599999999999998</v>
      </c>
      <c r="E32" s="4">
        <f t="shared" si="3"/>
        <v>56</v>
      </c>
      <c r="F32" s="4">
        <f t="shared" si="4"/>
        <v>19.599999999999998</v>
      </c>
      <c r="G32" s="4">
        <f t="shared" si="5"/>
        <v>2240</v>
      </c>
      <c r="H32" s="4">
        <f t="shared" si="6"/>
        <v>33.6</v>
      </c>
      <c r="I32" s="4">
        <f t="shared" si="7"/>
        <v>33.6</v>
      </c>
      <c r="J32" s="4">
        <f t="shared" si="8"/>
        <v>1008</v>
      </c>
      <c r="K32" s="35">
        <v>1.3</v>
      </c>
      <c r="L32" s="4">
        <f t="shared" si="9"/>
        <v>1565.2</v>
      </c>
      <c r="M32" s="4">
        <f t="shared" si="10"/>
        <v>72.8</v>
      </c>
      <c r="N32" s="4">
        <f t="shared" si="11"/>
        <v>25.479999999999997</v>
      </c>
      <c r="O32" s="4">
        <f t="shared" si="12"/>
        <v>72.8</v>
      </c>
      <c r="P32" s="4">
        <f t="shared" si="13"/>
        <v>25.479999999999997</v>
      </c>
      <c r="Q32" s="4">
        <f t="shared" si="14"/>
        <v>2912</v>
      </c>
      <c r="R32" s="4">
        <f t="shared" si="15"/>
        <v>43.680000000000007</v>
      </c>
      <c r="S32" s="4">
        <f t="shared" si="16"/>
        <v>43.680000000000007</v>
      </c>
      <c r="T32" s="4">
        <f t="shared" si="17"/>
        <v>1310.4000000000001</v>
      </c>
      <c r="U32" s="36">
        <v>1.75</v>
      </c>
      <c r="V32" s="4">
        <f t="shared" si="18"/>
        <v>2107</v>
      </c>
      <c r="W32" s="4">
        <f t="shared" si="19"/>
        <v>98</v>
      </c>
      <c r="X32" s="4">
        <f t="shared" si="20"/>
        <v>34.299999999999997</v>
      </c>
      <c r="Y32" s="4">
        <f t="shared" si="21"/>
        <v>98</v>
      </c>
      <c r="Z32" s="4">
        <f t="shared" si="22"/>
        <v>34.299999999999997</v>
      </c>
      <c r="AA32" s="4">
        <f t="shared" si="23"/>
        <v>3920</v>
      </c>
      <c r="AB32" s="4">
        <f t="shared" si="24"/>
        <v>58.800000000000004</v>
      </c>
      <c r="AC32" s="4">
        <f t="shared" si="25"/>
        <v>58.800000000000004</v>
      </c>
      <c r="AD32" s="4">
        <f t="shared" si="26"/>
        <v>1764</v>
      </c>
    </row>
    <row r="33" spans="1:30" x14ac:dyDescent="0.2">
      <c r="A33" s="2">
        <v>31</v>
      </c>
      <c r="B33" s="37">
        <f>C33*战力关系!$B$2+D33*战力关系!$B$5+E33*战力关系!$B$3+F33*战力关系!$B$6+G33*战力关系!$B$4</f>
        <v>1247</v>
      </c>
      <c r="C33" s="22">
        <v>58</v>
      </c>
      <c r="D33" s="4">
        <f t="shared" si="2"/>
        <v>20.299999999999997</v>
      </c>
      <c r="E33" s="4">
        <f t="shared" si="3"/>
        <v>58</v>
      </c>
      <c r="F33" s="4">
        <f t="shared" si="4"/>
        <v>20.299999999999997</v>
      </c>
      <c r="G33" s="4">
        <f t="shared" si="5"/>
        <v>2320</v>
      </c>
      <c r="H33" s="4">
        <f t="shared" si="6"/>
        <v>34.799999999999997</v>
      </c>
      <c r="I33" s="4">
        <f t="shared" si="7"/>
        <v>34.799999999999997</v>
      </c>
      <c r="J33" s="4">
        <f t="shared" si="8"/>
        <v>1044</v>
      </c>
      <c r="K33" s="35">
        <v>1.3</v>
      </c>
      <c r="L33" s="4">
        <f t="shared" si="9"/>
        <v>1621.1000000000001</v>
      </c>
      <c r="M33" s="4">
        <f t="shared" si="10"/>
        <v>75.400000000000006</v>
      </c>
      <c r="N33" s="4">
        <f t="shared" si="11"/>
        <v>26.389999999999997</v>
      </c>
      <c r="O33" s="4">
        <f t="shared" si="12"/>
        <v>75.400000000000006</v>
      </c>
      <c r="P33" s="4">
        <f t="shared" si="13"/>
        <v>26.389999999999997</v>
      </c>
      <c r="Q33" s="4">
        <f t="shared" si="14"/>
        <v>3016</v>
      </c>
      <c r="R33" s="4">
        <f t="shared" si="15"/>
        <v>45.239999999999995</v>
      </c>
      <c r="S33" s="4">
        <f t="shared" si="16"/>
        <v>45.239999999999995</v>
      </c>
      <c r="T33" s="4">
        <f t="shared" si="17"/>
        <v>1357.2</v>
      </c>
      <c r="U33" s="36">
        <v>1.75</v>
      </c>
      <c r="V33" s="4">
        <f t="shared" si="18"/>
        <v>2182.25</v>
      </c>
      <c r="W33" s="4">
        <f t="shared" si="19"/>
        <v>101.5</v>
      </c>
      <c r="X33" s="4">
        <f t="shared" si="20"/>
        <v>35.524999999999991</v>
      </c>
      <c r="Y33" s="4">
        <f t="shared" si="21"/>
        <v>101.5</v>
      </c>
      <c r="Z33" s="4">
        <f t="shared" si="22"/>
        <v>35.524999999999991</v>
      </c>
      <c r="AA33" s="4">
        <f t="shared" si="23"/>
        <v>4060</v>
      </c>
      <c r="AB33" s="4">
        <f t="shared" si="24"/>
        <v>60.899999999999991</v>
      </c>
      <c r="AC33" s="4">
        <f t="shared" si="25"/>
        <v>60.899999999999991</v>
      </c>
      <c r="AD33" s="4">
        <f t="shared" si="26"/>
        <v>1827</v>
      </c>
    </row>
    <row r="34" spans="1:30" x14ac:dyDescent="0.2">
      <c r="A34" s="2">
        <v>32</v>
      </c>
      <c r="B34" s="37">
        <f>C34*战力关系!$B$2+D34*战力关系!$B$5+E34*战力关系!$B$3+F34*战力关系!$B$6+G34*战力关系!$B$4</f>
        <v>1290</v>
      </c>
      <c r="C34" s="22">
        <v>60</v>
      </c>
      <c r="D34" s="4">
        <f t="shared" si="2"/>
        <v>21</v>
      </c>
      <c r="E34" s="4">
        <f t="shared" si="3"/>
        <v>60</v>
      </c>
      <c r="F34" s="4">
        <f t="shared" si="4"/>
        <v>21</v>
      </c>
      <c r="G34" s="4">
        <f t="shared" si="5"/>
        <v>2400</v>
      </c>
      <c r="H34" s="4">
        <f t="shared" si="6"/>
        <v>36</v>
      </c>
      <c r="I34" s="4">
        <f t="shared" si="7"/>
        <v>36</v>
      </c>
      <c r="J34" s="4">
        <f t="shared" si="8"/>
        <v>1080</v>
      </c>
      <c r="K34" s="35">
        <v>1.3</v>
      </c>
      <c r="L34" s="4">
        <f t="shared" si="9"/>
        <v>1677</v>
      </c>
      <c r="M34" s="4">
        <f t="shared" si="10"/>
        <v>78</v>
      </c>
      <c r="N34" s="4">
        <f t="shared" si="11"/>
        <v>27.3</v>
      </c>
      <c r="O34" s="4">
        <f t="shared" si="12"/>
        <v>78</v>
      </c>
      <c r="P34" s="4">
        <f t="shared" si="13"/>
        <v>27.3</v>
      </c>
      <c r="Q34" s="4">
        <f t="shared" si="14"/>
        <v>3120</v>
      </c>
      <c r="R34" s="4">
        <f t="shared" si="15"/>
        <v>46.800000000000004</v>
      </c>
      <c r="S34" s="4">
        <f t="shared" si="16"/>
        <v>46.800000000000004</v>
      </c>
      <c r="T34" s="4">
        <f t="shared" si="17"/>
        <v>1404</v>
      </c>
      <c r="U34" s="36">
        <v>1.75</v>
      </c>
      <c r="V34" s="4">
        <f t="shared" si="18"/>
        <v>2257.5</v>
      </c>
      <c r="W34" s="4">
        <f t="shared" si="19"/>
        <v>105</v>
      </c>
      <c r="X34" s="4">
        <f t="shared" si="20"/>
        <v>36.75</v>
      </c>
      <c r="Y34" s="4">
        <f t="shared" si="21"/>
        <v>105</v>
      </c>
      <c r="Z34" s="4">
        <f t="shared" si="22"/>
        <v>36.75</v>
      </c>
      <c r="AA34" s="4">
        <f t="shared" si="23"/>
        <v>4200</v>
      </c>
      <c r="AB34" s="4">
        <f t="shared" si="24"/>
        <v>63</v>
      </c>
      <c r="AC34" s="4">
        <f t="shared" si="25"/>
        <v>63</v>
      </c>
      <c r="AD34" s="4">
        <f t="shared" si="26"/>
        <v>1890</v>
      </c>
    </row>
    <row r="35" spans="1:30" x14ac:dyDescent="0.2">
      <c r="A35" s="2">
        <v>33</v>
      </c>
      <c r="B35" s="37">
        <f>C35*战力关系!$B$2+D35*战力关系!$B$5+E35*战力关系!$B$3+F35*战力关系!$B$6+G35*战力关系!$B$4</f>
        <v>1311.5</v>
      </c>
      <c r="C35" s="22">
        <v>61</v>
      </c>
      <c r="D35" s="4">
        <f t="shared" si="2"/>
        <v>21.349999999999998</v>
      </c>
      <c r="E35" s="4">
        <f t="shared" si="3"/>
        <v>61</v>
      </c>
      <c r="F35" s="4">
        <f t="shared" si="4"/>
        <v>21.349999999999998</v>
      </c>
      <c r="G35" s="4">
        <f t="shared" si="5"/>
        <v>2440</v>
      </c>
      <c r="H35" s="4">
        <f t="shared" si="6"/>
        <v>36.6</v>
      </c>
      <c r="I35" s="4">
        <f t="shared" si="7"/>
        <v>36.6</v>
      </c>
      <c r="J35" s="4">
        <f t="shared" si="8"/>
        <v>1098</v>
      </c>
      <c r="K35" s="35">
        <v>1.3</v>
      </c>
      <c r="L35" s="4">
        <f t="shared" si="9"/>
        <v>1704.95</v>
      </c>
      <c r="M35" s="4">
        <f t="shared" si="10"/>
        <v>79.3</v>
      </c>
      <c r="N35" s="4">
        <f t="shared" si="11"/>
        <v>27.754999999999999</v>
      </c>
      <c r="O35" s="4">
        <f t="shared" si="12"/>
        <v>79.3</v>
      </c>
      <c r="P35" s="4">
        <f t="shared" si="13"/>
        <v>27.754999999999999</v>
      </c>
      <c r="Q35" s="4">
        <f t="shared" si="14"/>
        <v>3172</v>
      </c>
      <c r="R35" s="4">
        <f t="shared" si="15"/>
        <v>47.580000000000005</v>
      </c>
      <c r="S35" s="4">
        <f t="shared" si="16"/>
        <v>47.580000000000005</v>
      </c>
      <c r="T35" s="4">
        <f t="shared" si="17"/>
        <v>1427.4</v>
      </c>
      <c r="U35" s="36">
        <v>1.75</v>
      </c>
      <c r="V35" s="4">
        <f t="shared" si="18"/>
        <v>2295.125</v>
      </c>
      <c r="W35" s="4">
        <f t="shared" si="19"/>
        <v>106.75</v>
      </c>
      <c r="X35" s="4">
        <f t="shared" si="20"/>
        <v>37.362499999999997</v>
      </c>
      <c r="Y35" s="4">
        <f t="shared" si="21"/>
        <v>106.75</v>
      </c>
      <c r="Z35" s="4">
        <f t="shared" si="22"/>
        <v>37.362499999999997</v>
      </c>
      <c r="AA35" s="4">
        <f t="shared" si="23"/>
        <v>4270</v>
      </c>
      <c r="AB35" s="4">
        <f t="shared" si="24"/>
        <v>64.05</v>
      </c>
      <c r="AC35" s="4">
        <f t="shared" si="25"/>
        <v>64.05</v>
      </c>
      <c r="AD35" s="4">
        <f t="shared" si="26"/>
        <v>1921.5</v>
      </c>
    </row>
    <row r="36" spans="1:30" x14ac:dyDescent="0.2">
      <c r="A36" s="2">
        <v>34</v>
      </c>
      <c r="B36" s="37">
        <f>C36*战力关系!$B$2+D36*战力关系!$B$5+E36*战力关系!$B$3+F36*战力关系!$B$6+G36*战力关系!$B$4</f>
        <v>1354.5</v>
      </c>
      <c r="C36" s="22">
        <v>63</v>
      </c>
      <c r="D36" s="4">
        <f t="shared" si="2"/>
        <v>22.049999999999997</v>
      </c>
      <c r="E36" s="4">
        <f t="shared" si="3"/>
        <v>63</v>
      </c>
      <c r="F36" s="4">
        <f t="shared" si="4"/>
        <v>22.049999999999997</v>
      </c>
      <c r="G36" s="4">
        <f t="shared" si="5"/>
        <v>2520</v>
      </c>
      <c r="H36" s="4">
        <f t="shared" si="6"/>
        <v>37.799999999999997</v>
      </c>
      <c r="I36" s="4">
        <f t="shared" si="7"/>
        <v>37.799999999999997</v>
      </c>
      <c r="J36" s="4">
        <f t="shared" si="8"/>
        <v>1134</v>
      </c>
      <c r="K36" s="35">
        <v>1.3</v>
      </c>
      <c r="L36" s="4">
        <f t="shared" si="9"/>
        <v>1760.8500000000001</v>
      </c>
      <c r="M36" s="4">
        <f t="shared" si="10"/>
        <v>81.900000000000006</v>
      </c>
      <c r="N36" s="4">
        <f t="shared" si="11"/>
        <v>28.664999999999996</v>
      </c>
      <c r="O36" s="4">
        <f t="shared" si="12"/>
        <v>81.900000000000006</v>
      </c>
      <c r="P36" s="4">
        <f t="shared" si="13"/>
        <v>28.664999999999996</v>
      </c>
      <c r="Q36" s="4">
        <f t="shared" si="14"/>
        <v>3276</v>
      </c>
      <c r="R36" s="4">
        <f t="shared" si="15"/>
        <v>49.14</v>
      </c>
      <c r="S36" s="4">
        <f t="shared" si="16"/>
        <v>49.14</v>
      </c>
      <c r="T36" s="4">
        <f t="shared" si="17"/>
        <v>1474.2</v>
      </c>
      <c r="U36" s="36">
        <v>1.75</v>
      </c>
      <c r="V36" s="4">
        <f t="shared" si="18"/>
        <v>2370.375</v>
      </c>
      <c r="W36" s="4">
        <f t="shared" si="19"/>
        <v>110.25</v>
      </c>
      <c r="X36" s="4">
        <f t="shared" si="20"/>
        <v>38.587499999999991</v>
      </c>
      <c r="Y36" s="4">
        <f t="shared" si="21"/>
        <v>110.25</v>
      </c>
      <c r="Z36" s="4">
        <f t="shared" si="22"/>
        <v>38.587499999999991</v>
      </c>
      <c r="AA36" s="4">
        <f t="shared" si="23"/>
        <v>4410</v>
      </c>
      <c r="AB36" s="4">
        <f t="shared" si="24"/>
        <v>66.149999999999991</v>
      </c>
      <c r="AC36" s="4">
        <f t="shared" si="25"/>
        <v>66.149999999999991</v>
      </c>
      <c r="AD36" s="4">
        <f t="shared" si="26"/>
        <v>1984.5</v>
      </c>
    </row>
    <row r="37" spans="1:30" x14ac:dyDescent="0.2">
      <c r="A37" s="2">
        <v>35</v>
      </c>
      <c r="B37" s="37">
        <f>C37*战力关系!$B$2+D37*战力关系!$B$5+E37*战力关系!$B$3+F37*战力关系!$B$6+G37*战力关系!$B$4</f>
        <v>1397.5</v>
      </c>
      <c r="C37" s="22">
        <v>65</v>
      </c>
      <c r="D37" s="4">
        <f t="shared" si="2"/>
        <v>22.75</v>
      </c>
      <c r="E37" s="4">
        <f t="shared" si="3"/>
        <v>65</v>
      </c>
      <c r="F37" s="4">
        <f t="shared" si="4"/>
        <v>22.75</v>
      </c>
      <c r="G37" s="4">
        <f t="shared" si="5"/>
        <v>2600</v>
      </c>
      <c r="H37" s="4">
        <f t="shared" si="6"/>
        <v>39</v>
      </c>
      <c r="I37" s="4">
        <f t="shared" si="7"/>
        <v>39</v>
      </c>
      <c r="J37" s="4">
        <f t="shared" si="8"/>
        <v>1170</v>
      </c>
      <c r="K37" s="35">
        <v>1.3</v>
      </c>
      <c r="L37" s="4">
        <f t="shared" si="9"/>
        <v>1816.75</v>
      </c>
      <c r="M37" s="4">
        <f t="shared" si="10"/>
        <v>84.5</v>
      </c>
      <c r="N37" s="4">
        <f t="shared" si="11"/>
        <v>29.574999999999999</v>
      </c>
      <c r="O37" s="4">
        <f t="shared" si="12"/>
        <v>84.5</v>
      </c>
      <c r="P37" s="4">
        <f t="shared" si="13"/>
        <v>29.574999999999999</v>
      </c>
      <c r="Q37" s="4">
        <f t="shared" si="14"/>
        <v>3380</v>
      </c>
      <c r="R37" s="4">
        <f t="shared" si="15"/>
        <v>50.7</v>
      </c>
      <c r="S37" s="4">
        <f t="shared" si="16"/>
        <v>50.7</v>
      </c>
      <c r="T37" s="4">
        <f t="shared" si="17"/>
        <v>1521</v>
      </c>
      <c r="U37" s="36">
        <v>1.75</v>
      </c>
      <c r="V37" s="4">
        <f t="shared" si="18"/>
        <v>2445.625</v>
      </c>
      <c r="W37" s="4">
        <f t="shared" si="19"/>
        <v>113.75</v>
      </c>
      <c r="X37" s="4">
        <f t="shared" si="20"/>
        <v>39.8125</v>
      </c>
      <c r="Y37" s="4">
        <f t="shared" si="21"/>
        <v>113.75</v>
      </c>
      <c r="Z37" s="4">
        <f t="shared" si="22"/>
        <v>39.8125</v>
      </c>
      <c r="AA37" s="4">
        <f t="shared" si="23"/>
        <v>4550</v>
      </c>
      <c r="AB37" s="4">
        <f t="shared" si="24"/>
        <v>68.25</v>
      </c>
      <c r="AC37" s="4">
        <f t="shared" si="25"/>
        <v>68.25</v>
      </c>
      <c r="AD37" s="4">
        <f t="shared" si="26"/>
        <v>2047.5</v>
      </c>
    </row>
    <row r="38" spans="1:30" x14ac:dyDescent="0.2">
      <c r="A38" s="2">
        <v>36</v>
      </c>
      <c r="B38" s="37">
        <f>C38*战力关系!$B$2+D38*战力关系!$B$5+E38*战力关系!$B$3+F38*战力关系!$B$6+G38*战力关系!$B$4</f>
        <v>1440.5</v>
      </c>
      <c r="C38" s="22">
        <v>67</v>
      </c>
      <c r="D38" s="4">
        <f t="shared" si="2"/>
        <v>23.45</v>
      </c>
      <c r="E38" s="4">
        <f t="shared" si="3"/>
        <v>67</v>
      </c>
      <c r="F38" s="4">
        <f t="shared" si="4"/>
        <v>23.45</v>
      </c>
      <c r="G38" s="4">
        <f t="shared" si="5"/>
        <v>2680</v>
      </c>
      <c r="H38" s="4">
        <f t="shared" si="6"/>
        <v>40.199999999999996</v>
      </c>
      <c r="I38" s="4">
        <f t="shared" si="7"/>
        <v>40.199999999999996</v>
      </c>
      <c r="J38" s="4">
        <f t="shared" si="8"/>
        <v>1205.9999999999998</v>
      </c>
      <c r="K38" s="35">
        <v>1.3</v>
      </c>
      <c r="L38" s="4">
        <f t="shared" si="9"/>
        <v>1872.65</v>
      </c>
      <c r="M38" s="4">
        <f t="shared" si="10"/>
        <v>87.100000000000009</v>
      </c>
      <c r="N38" s="4">
        <f t="shared" si="11"/>
        <v>30.484999999999999</v>
      </c>
      <c r="O38" s="4">
        <f t="shared" si="12"/>
        <v>87.100000000000009</v>
      </c>
      <c r="P38" s="4">
        <f t="shared" si="13"/>
        <v>30.484999999999999</v>
      </c>
      <c r="Q38" s="4">
        <f t="shared" si="14"/>
        <v>3484</v>
      </c>
      <c r="R38" s="4">
        <f t="shared" si="15"/>
        <v>52.26</v>
      </c>
      <c r="S38" s="4">
        <f t="shared" si="16"/>
        <v>52.26</v>
      </c>
      <c r="T38" s="4">
        <f t="shared" si="17"/>
        <v>1567.7999999999997</v>
      </c>
      <c r="U38" s="36">
        <v>1.75</v>
      </c>
      <c r="V38" s="4">
        <f t="shared" si="18"/>
        <v>2520.875</v>
      </c>
      <c r="W38" s="4">
        <f t="shared" si="19"/>
        <v>117.25</v>
      </c>
      <c r="X38" s="4">
        <f t="shared" si="20"/>
        <v>41.037500000000001</v>
      </c>
      <c r="Y38" s="4">
        <f t="shared" si="21"/>
        <v>117.25</v>
      </c>
      <c r="Z38" s="4">
        <f t="shared" si="22"/>
        <v>41.037500000000001</v>
      </c>
      <c r="AA38" s="4">
        <f t="shared" si="23"/>
        <v>4690</v>
      </c>
      <c r="AB38" s="4">
        <f t="shared" si="24"/>
        <v>70.349999999999994</v>
      </c>
      <c r="AC38" s="4">
        <f t="shared" si="25"/>
        <v>70.349999999999994</v>
      </c>
      <c r="AD38" s="4">
        <f t="shared" si="26"/>
        <v>2110.4999999999995</v>
      </c>
    </row>
    <row r="39" spans="1:30" x14ac:dyDescent="0.2">
      <c r="A39" s="2">
        <v>37</v>
      </c>
      <c r="B39" s="37">
        <f>C39*战力关系!$B$2+D39*战力关系!$B$5+E39*战力关系!$B$3+F39*战力关系!$B$6+G39*战力关系!$B$4</f>
        <v>1483.5</v>
      </c>
      <c r="C39" s="22">
        <v>69</v>
      </c>
      <c r="D39" s="4">
        <f t="shared" si="2"/>
        <v>24.15</v>
      </c>
      <c r="E39" s="4">
        <f t="shared" si="3"/>
        <v>69</v>
      </c>
      <c r="F39" s="4">
        <f t="shared" si="4"/>
        <v>24.15</v>
      </c>
      <c r="G39" s="4">
        <f t="shared" si="5"/>
        <v>2760</v>
      </c>
      <c r="H39" s="4">
        <f t="shared" si="6"/>
        <v>41.4</v>
      </c>
      <c r="I39" s="4">
        <f t="shared" si="7"/>
        <v>41.4</v>
      </c>
      <c r="J39" s="4">
        <f t="shared" si="8"/>
        <v>1242</v>
      </c>
      <c r="K39" s="35">
        <v>1.3</v>
      </c>
      <c r="L39" s="4">
        <f t="shared" si="9"/>
        <v>1928.55</v>
      </c>
      <c r="M39" s="4">
        <f t="shared" si="10"/>
        <v>89.7</v>
      </c>
      <c r="N39" s="4">
        <f t="shared" si="11"/>
        <v>31.395</v>
      </c>
      <c r="O39" s="4">
        <f t="shared" si="12"/>
        <v>89.7</v>
      </c>
      <c r="P39" s="4">
        <f t="shared" si="13"/>
        <v>31.395</v>
      </c>
      <c r="Q39" s="4">
        <f t="shared" si="14"/>
        <v>3588</v>
      </c>
      <c r="R39" s="4">
        <f t="shared" si="15"/>
        <v>53.82</v>
      </c>
      <c r="S39" s="4">
        <f t="shared" si="16"/>
        <v>53.82</v>
      </c>
      <c r="T39" s="4">
        <f t="shared" si="17"/>
        <v>1614.6000000000001</v>
      </c>
      <c r="U39" s="36">
        <v>1.75</v>
      </c>
      <c r="V39" s="4">
        <f t="shared" si="18"/>
        <v>2596.125</v>
      </c>
      <c r="W39" s="4">
        <f t="shared" si="19"/>
        <v>120.75</v>
      </c>
      <c r="X39" s="4">
        <f t="shared" si="20"/>
        <v>42.262499999999996</v>
      </c>
      <c r="Y39" s="4">
        <f t="shared" si="21"/>
        <v>120.75</v>
      </c>
      <c r="Z39" s="4">
        <f t="shared" si="22"/>
        <v>42.262499999999996</v>
      </c>
      <c r="AA39" s="4">
        <f t="shared" si="23"/>
        <v>4830</v>
      </c>
      <c r="AB39" s="4">
        <f t="shared" si="24"/>
        <v>72.45</v>
      </c>
      <c r="AC39" s="4">
        <f t="shared" si="25"/>
        <v>72.45</v>
      </c>
      <c r="AD39" s="4">
        <f t="shared" si="26"/>
        <v>2173.5</v>
      </c>
    </row>
    <row r="40" spans="1:30" x14ac:dyDescent="0.2">
      <c r="A40" s="2">
        <v>38</v>
      </c>
      <c r="B40" s="37">
        <f>C40*战力关系!$B$2+D40*战力关系!$B$5+E40*战力关系!$B$3+F40*战力关系!$B$6+G40*战力关系!$B$4</f>
        <v>1505</v>
      </c>
      <c r="C40" s="22">
        <v>70</v>
      </c>
      <c r="D40" s="4">
        <f t="shared" si="2"/>
        <v>24.5</v>
      </c>
      <c r="E40" s="4">
        <f t="shared" si="3"/>
        <v>70</v>
      </c>
      <c r="F40" s="4">
        <f t="shared" si="4"/>
        <v>24.5</v>
      </c>
      <c r="G40" s="4">
        <f t="shared" si="5"/>
        <v>2800</v>
      </c>
      <c r="H40" s="4">
        <f t="shared" si="6"/>
        <v>42</v>
      </c>
      <c r="I40" s="4">
        <f t="shared" si="7"/>
        <v>42</v>
      </c>
      <c r="J40" s="4">
        <f t="shared" si="8"/>
        <v>1260</v>
      </c>
      <c r="K40" s="35">
        <v>1.3</v>
      </c>
      <c r="L40" s="4">
        <f t="shared" si="9"/>
        <v>1956.5</v>
      </c>
      <c r="M40" s="4">
        <f t="shared" si="10"/>
        <v>91</v>
      </c>
      <c r="N40" s="4">
        <f t="shared" si="11"/>
        <v>31.85</v>
      </c>
      <c r="O40" s="4">
        <f t="shared" si="12"/>
        <v>91</v>
      </c>
      <c r="P40" s="4">
        <f t="shared" si="13"/>
        <v>31.85</v>
      </c>
      <c r="Q40" s="4">
        <f t="shared" si="14"/>
        <v>3640</v>
      </c>
      <c r="R40" s="4">
        <f t="shared" si="15"/>
        <v>54.6</v>
      </c>
      <c r="S40" s="4">
        <f t="shared" si="16"/>
        <v>54.6</v>
      </c>
      <c r="T40" s="4">
        <f t="shared" si="17"/>
        <v>1638</v>
      </c>
      <c r="U40" s="36">
        <v>1.75</v>
      </c>
      <c r="V40" s="4">
        <f t="shared" si="18"/>
        <v>2633.75</v>
      </c>
      <c r="W40" s="4">
        <f t="shared" si="19"/>
        <v>122.5</v>
      </c>
      <c r="X40" s="4">
        <f t="shared" si="20"/>
        <v>42.875</v>
      </c>
      <c r="Y40" s="4">
        <f t="shared" si="21"/>
        <v>122.5</v>
      </c>
      <c r="Z40" s="4">
        <f t="shared" si="22"/>
        <v>42.875</v>
      </c>
      <c r="AA40" s="4">
        <f t="shared" si="23"/>
        <v>4900</v>
      </c>
      <c r="AB40" s="4">
        <f t="shared" si="24"/>
        <v>73.5</v>
      </c>
      <c r="AC40" s="4">
        <f t="shared" si="25"/>
        <v>73.5</v>
      </c>
      <c r="AD40" s="4">
        <f t="shared" si="26"/>
        <v>2205</v>
      </c>
    </row>
    <row r="41" spans="1:30" x14ac:dyDescent="0.2">
      <c r="A41" s="2">
        <v>39</v>
      </c>
      <c r="B41" s="37">
        <f>C41*战力关系!$B$2+D41*战力关系!$B$5+E41*战力关系!$B$3+F41*战力关系!$B$6+G41*战力关系!$B$4</f>
        <v>1548</v>
      </c>
      <c r="C41" s="22">
        <v>72</v>
      </c>
      <c r="D41" s="4">
        <f t="shared" si="2"/>
        <v>25.2</v>
      </c>
      <c r="E41" s="4">
        <f t="shared" si="3"/>
        <v>72</v>
      </c>
      <c r="F41" s="4">
        <f t="shared" si="4"/>
        <v>25.2</v>
      </c>
      <c r="G41" s="4">
        <f t="shared" si="5"/>
        <v>2880</v>
      </c>
      <c r="H41" s="4">
        <f t="shared" si="6"/>
        <v>43.199999999999996</v>
      </c>
      <c r="I41" s="4">
        <f t="shared" si="7"/>
        <v>43.199999999999996</v>
      </c>
      <c r="J41" s="4">
        <f t="shared" si="8"/>
        <v>1295.9999999999998</v>
      </c>
      <c r="K41" s="35">
        <v>1.3</v>
      </c>
      <c r="L41" s="4">
        <f t="shared" si="9"/>
        <v>2012.4</v>
      </c>
      <c r="M41" s="4">
        <f t="shared" si="10"/>
        <v>93.600000000000009</v>
      </c>
      <c r="N41" s="4">
        <f t="shared" si="11"/>
        <v>32.76</v>
      </c>
      <c r="O41" s="4">
        <f t="shared" si="12"/>
        <v>93.600000000000009</v>
      </c>
      <c r="P41" s="4">
        <f t="shared" si="13"/>
        <v>32.76</v>
      </c>
      <c r="Q41" s="4">
        <f t="shared" si="14"/>
        <v>3744</v>
      </c>
      <c r="R41" s="4">
        <f t="shared" si="15"/>
        <v>56.16</v>
      </c>
      <c r="S41" s="4">
        <f t="shared" si="16"/>
        <v>56.16</v>
      </c>
      <c r="T41" s="4">
        <f t="shared" si="17"/>
        <v>1684.7999999999997</v>
      </c>
      <c r="U41" s="36">
        <v>1.75</v>
      </c>
      <c r="V41" s="4">
        <f t="shared" si="18"/>
        <v>2709</v>
      </c>
      <c r="W41" s="4">
        <f t="shared" si="19"/>
        <v>126</v>
      </c>
      <c r="X41" s="4">
        <f t="shared" si="20"/>
        <v>44.1</v>
      </c>
      <c r="Y41" s="4">
        <f t="shared" si="21"/>
        <v>126</v>
      </c>
      <c r="Z41" s="4">
        <f t="shared" si="22"/>
        <v>44.1</v>
      </c>
      <c r="AA41" s="4">
        <f t="shared" si="23"/>
        <v>5040</v>
      </c>
      <c r="AB41" s="4">
        <f t="shared" si="24"/>
        <v>75.599999999999994</v>
      </c>
      <c r="AC41" s="4">
        <f t="shared" si="25"/>
        <v>75.599999999999994</v>
      </c>
      <c r="AD41" s="4">
        <f t="shared" si="26"/>
        <v>2267.9999999999995</v>
      </c>
    </row>
    <row r="42" spans="1:30" x14ac:dyDescent="0.2">
      <c r="A42" s="2">
        <v>40</v>
      </c>
      <c r="B42" s="37">
        <f>C42*战力关系!$B$2+D42*战力关系!$B$5+E42*战力关系!$B$3+F42*战力关系!$B$6+G42*战力关系!$B$4</f>
        <v>1591</v>
      </c>
      <c r="C42" s="22">
        <v>74</v>
      </c>
      <c r="D42" s="4">
        <f t="shared" si="2"/>
        <v>25.9</v>
      </c>
      <c r="E42" s="4">
        <f t="shared" si="3"/>
        <v>74</v>
      </c>
      <c r="F42" s="4">
        <f t="shared" si="4"/>
        <v>25.9</v>
      </c>
      <c r="G42" s="4">
        <f t="shared" si="5"/>
        <v>2960</v>
      </c>
      <c r="H42" s="4">
        <f t="shared" si="6"/>
        <v>44.4</v>
      </c>
      <c r="I42" s="4">
        <f t="shared" si="7"/>
        <v>44.4</v>
      </c>
      <c r="J42" s="4">
        <f t="shared" si="8"/>
        <v>1332</v>
      </c>
      <c r="K42" s="35">
        <v>1.3</v>
      </c>
      <c r="L42" s="4">
        <f t="shared" si="9"/>
        <v>2068.3000000000002</v>
      </c>
      <c r="M42" s="4">
        <f t="shared" si="10"/>
        <v>96.2</v>
      </c>
      <c r="N42" s="4">
        <f t="shared" si="11"/>
        <v>33.67</v>
      </c>
      <c r="O42" s="4">
        <f t="shared" si="12"/>
        <v>96.2</v>
      </c>
      <c r="P42" s="4">
        <f t="shared" si="13"/>
        <v>33.67</v>
      </c>
      <c r="Q42" s="4">
        <f t="shared" si="14"/>
        <v>3848</v>
      </c>
      <c r="R42" s="4">
        <f t="shared" si="15"/>
        <v>57.72</v>
      </c>
      <c r="S42" s="4">
        <f t="shared" si="16"/>
        <v>57.72</v>
      </c>
      <c r="T42" s="4">
        <f t="shared" si="17"/>
        <v>1731.6000000000001</v>
      </c>
      <c r="U42" s="36">
        <v>1.75</v>
      </c>
      <c r="V42" s="4">
        <f t="shared" si="18"/>
        <v>2784.25</v>
      </c>
      <c r="W42" s="4">
        <f t="shared" si="19"/>
        <v>129.5</v>
      </c>
      <c r="X42" s="4">
        <f t="shared" si="20"/>
        <v>45.324999999999996</v>
      </c>
      <c r="Y42" s="4">
        <f t="shared" si="21"/>
        <v>129.5</v>
      </c>
      <c r="Z42" s="4">
        <f t="shared" si="22"/>
        <v>45.324999999999996</v>
      </c>
      <c r="AA42" s="4">
        <f t="shared" si="23"/>
        <v>5180</v>
      </c>
      <c r="AB42" s="4">
        <f t="shared" si="24"/>
        <v>77.7</v>
      </c>
      <c r="AC42" s="4">
        <f t="shared" si="25"/>
        <v>77.7</v>
      </c>
      <c r="AD42" s="4">
        <f t="shared" si="26"/>
        <v>2331</v>
      </c>
    </row>
  </sheetData>
  <mergeCells count="3">
    <mergeCell ref="K1:T1"/>
    <mergeCell ref="B1:J1"/>
    <mergeCell ref="U1:AD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58E9-7094-4702-B4AD-BAEE58B09A72}">
  <sheetPr>
    <tabColor rgb="FF00B050"/>
  </sheetPr>
  <dimension ref="A1:B31"/>
  <sheetViews>
    <sheetView workbookViewId="0">
      <selection activeCell="C31" sqref="C31"/>
    </sheetView>
  </sheetViews>
  <sheetFormatPr defaultRowHeight="14.25" x14ac:dyDescent="0.2"/>
  <cols>
    <col min="1" max="1" width="10.375" customWidth="1"/>
    <col min="2" max="2" width="11.375" customWidth="1"/>
  </cols>
  <sheetData>
    <row r="1" spans="1:2" x14ac:dyDescent="0.2">
      <c r="A1" s="33" t="s">
        <v>33</v>
      </c>
      <c r="B1" s="33" t="s">
        <v>93</v>
      </c>
    </row>
    <row r="2" spans="1:2" x14ac:dyDescent="0.2">
      <c r="A2" s="2">
        <v>1</v>
      </c>
      <c r="B2" s="34">
        <v>0.05</v>
      </c>
    </row>
    <row r="3" spans="1:2" x14ac:dyDescent="0.2">
      <c r="A3" s="2">
        <v>2</v>
      </c>
      <c r="B3" s="34">
        <v>0.1</v>
      </c>
    </row>
    <row r="4" spans="1:2" x14ac:dyDescent="0.2">
      <c r="A4" s="2">
        <v>3</v>
      </c>
      <c r="B4" s="34">
        <v>0.15</v>
      </c>
    </row>
    <row r="5" spans="1:2" x14ac:dyDescent="0.2">
      <c r="A5" s="2">
        <v>4</v>
      </c>
      <c r="B5" s="34">
        <v>0.2</v>
      </c>
    </row>
    <row r="6" spans="1:2" x14ac:dyDescent="0.2">
      <c r="A6" s="2">
        <v>5</v>
      </c>
      <c r="B6" s="34">
        <v>0.25</v>
      </c>
    </row>
    <row r="7" spans="1:2" x14ac:dyDescent="0.2">
      <c r="A7" s="2">
        <v>6</v>
      </c>
      <c r="B7" s="34">
        <v>0.3</v>
      </c>
    </row>
    <row r="8" spans="1:2" x14ac:dyDescent="0.2">
      <c r="A8" s="2">
        <v>7</v>
      </c>
      <c r="B8" s="34">
        <v>0.35</v>
      </c>
    </row>
    <row r="9" spans="1:2" x14ac:dyDescent="0.2">
      <c r="A9" s="2">
        <v>8</v>
      </c>
      <c r="B9" s="34">
        <v>0.4</v>
      </c>
    </row>
    <row r="10" spans="1:2" x14ac:dyDescent="0.2">
      <c r="A10" s="2">
        <v>9</v>
      </c>
      <c r="B10" s="34">
        <v>0.45</v>
      </c>
    </row>
    <row r="11" spans="1:2" x14ac:dyDescent="0.2">
      <c r="A11" s="2">
        <v>10</v>
      </c>
      <c r="B11" s="34">
        <v>0.5</v>
      </c>
    </row>
    <row r="12" spans="1:2" x14ac:dyDescent="0.2">
      <c r="A12" s="2">
        <v>11</v>
      </c>
      <c r="B12" s="34">
        <v>0.55000000000000004</v>
      </c>
    </row>
    <row r="13" spans="1:2" x14ac:dyDescent="0.2">
      <c r="A13" s="2">
        <v>12</v>
      </c>
      <c r="B13" s="34">
        <v>0.6</v>
      </c>
    </row>
    <row r="14" spans="1:2" x14ac:dyDescent="0.2">
      <c r="A14" s="2">
        <v>13</v>
      </c>
      <c r="B14" s="34">
        <v>0.65</v>
      </c>
    </row>
    <row r="15" spans="1:2" x14ac:dyDescent="0.2">
      <c r="A15" s="2">
        <v>14</v>
      </c>
      <c r="B15" s="34">
        <v>0.7</v>
      </c>
    </row>
    <row r="16" spans="1:2" x14ac:dyDescent="0.2">
      <c r="A16" s="2">
        <v>15</v>
      </c>
      <c r="B16" s="34">
        <v>0.75</v>
      </c>
    </row>
    <row r="17" spans="1:2" x14ac:dyDescent="0.2">
      <c r="A17" s="2">
        <v>16</v>
      </c>
      <c r="B17" s="34">
        <v>0.8</v>
      </c>
    </row>
    <row r="18" spans="1:2" x14ac:dyDescent="0.2">
      <c r="A18" s="2">
        <v>17</v>
      </c>
      <c r="B18" s="34">
        <v>0.85</v>
      </c>
    </row>
    <row r="19" spans="1:2" x14ac:dyDescent="0.2">
      <c r="A19" s="2">
        <v>18</v>
      </c>
      <c r="B19" s="34">
        <v>0.9</v>
      </c>
    </row>
    <row r="20" spans="1:2" x14ac:dyDescent="0.2">
      <c r="A20" s="2">
        <v>19</v>
      </c>
      <c r="B20" s="34">
        <v>0.95</v>
      </c>
    </row>
    <row r="21" spans="1:2" x14ac:dyDescent="0.2">
      <c r="A21" s="2">
        <v>20</v>
      </c>
      <c r="B21" s="34">
        <v>1</v>
      </c>
    </row>
    <row r="22" spans="1:2" x14ac:dyDescent="0.2">
      <c r="A22" s="2">
        <v>21</v>
      </c>
      <c r="B22" s="34">
        <v>1.05</v>
      </c>
    </row>
    <row r="23" spans="1:2" x14ac:dyDescent="0.2">
      <c r="A23" s="2">
        <v>22</v>
      </c>
      <c r="B23" s="34">
        <v>1.1000000000000001</v>
      </c>
    </row>
    <row r="24" spans="1:2" x14ac:dyDescent="0.2">
      <c r="A24" s="2">
        <v>23</v>
      </c>
      <c r="B24" s="34">
        <v>1.1499999999999999</v>
      </c>
    </row>
    <row r="25" spans="1:2" x14ac:dyDescent="0.2">
      <c r="A25" s="2">
        <v>24</v>
      </c>
      <c r="B25" s="34">
        <v>1.2</v>
      </c>
    </row>
    <row r="26" spans="1:2" x14ac:dyDescent="0.2">
      <c r="A26" s="2">
        <v>25</v>
      </c>
      <c r="B26" s="34">
        <v>1.25</v>
      </c>
    </row>
    <row r="27" spans="1:2" x14ac:dyDescent="0.2">
      <c r="A27" s="2">
        <v>26</v>
      </c>
      <c r="B27" s="34">
        <v>1.3</v>
      </c>
    </row>
    <row r="28" spans="1:2" x14ac:dyDescent="0.2">
      <c r="A28" s="2">
        <v>27</v>
      </c>
      <c r="B28" s="34">
        <v>1.35</v>
      </c>
    </row>
    <row r="29" spans="1:2" x14ac:dyDescent="0.2">
      <c r="A29" s="2">
        <v>28</v>
      </c>
      <c r="B29" s="34">
        <v>1.4</v>
      </c>
    </row>
    <row r="30" spans="1:2" x14ac:dyDescent="0.2">
      <c r="A30" s="2">
        <v>29</v>
      </c>
      <c r="B30" s="34">
        <v>1.45</v>
      </c>
    </row>
    <row r="31" spans="1:2" x14ac:dyDescent="0.2">
      <c r="A31" s="2">
        <v>30</v>
      </c>
      <c r="B31" s="34">
        <v>1.5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0C62-178A-4923-BAA9-BA64A5DB4020}">
  <sheetPr>
    <tabColor rgb="FFFFC000"/>
  </sheetPr>
  <dimension ref="B2:P70"/>
  <sheetViews>
    <sheetView topLeftCell="A23" workbookViewId="0">
      <selection activeCell="O68" sqref="O68:P68"/>
    </sheetView>
  </sheetViews>
  <sheetFormatPr defaultColWidth="8.625" defaultRowHeight="16.5" x14ac:dyDescent="0.3"/>
  <cols>
    <col min="1" max="1" width="8.625" style="40"/>
    <col min="2" max="2" width="20.125" style="40" customWidth="1"/>
    <col min="3" max="3" width="10.375" style="40" customWidth="1"/>
    <col min="4" max="4" width="9.875" style="40" customWidth="1"/>
    <col min="5" max="10" width="8.625" style="40"/>
    <col min="11" max="11" width="11.25" style="40" customWidth="1"/>
    <col min="12" max="12" width="11.125" style="40" customWidth="1"/>
    <col min="13" max="13" width="10.125" style="40" customWidth="1"/>
    <col min="14" max="14" width="12.25" style="40" customWidth="1"/>
    <col min="15" max="16384" width="8.625" style="40"/>
  </cols>
  <sheetData>
    <row r="2" spans="2:2" ht="24.75" x14ac:dyDescent="0.4">
      <c r="B2" s="77" t="s">
        <v>267</v>
      </c>
    </row>
    <row r="25" spans="2:16" ht="24.75" x14ac:dyDescent="0.4">
      <c r="B25" s="77" t="s">
        <v>268</v>
      </c>
    </row>
    <row r="26" spans="2:16" ht="23.25" thickBot="1" x14ac:dyDescent="0.35">
      <c r="B26" s="78" t="s">
        <v>215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 x14ac:dyDescent="0.3">
      <c r="B27" s="80" t="s">
        <v>216</v>
      </c>
      <c r="C27" s="81" t="s">
        <v>174</v>
      </c>
      <c r="D27" s="81" t="s">
        <v>179</v>
      </c>
      <c r="E27" s="81" t="s">
        <v>179</v>
      </c>
      <c r="F27" s="81" t="s">
        <v>217</v>
      </c>
      <c r="G27" s="81" t="s">
        <v>179</v>
      </c>
      <c r="H27" s="81" t="s">
        <v>217</v>
      </c>
      <c r="I27" s="81" t="s">
        <v>179</v>
      </c>
      <c r="J27" s="81" t="s">
        <v>217</v>
      </c>
      <c r="K27" s="81" t="s">
        <v>179</v>
      </c>
      <c r="L27" s="81" t="s">
        <v>217</v>
      </c>
      <c r="M27" s="81" t="s">
        <v>186</v>
      </c>
      <c r="N27" s="81" t="s">
        <v>217</v>
      </c>
      <c r="O27" s="81" t="s">
        <v>186</v>
      </c>
      <c r="P27" s="82" t="s">
        <v>217</v>
      </c>
    </row>
    <row r="28" spans="2:16" x14ac:dyDescent="0.3">
      <c r="B28" s="83" t="s">
        <v>218</v>
      </c>
      <c r="C28" s="79"/>
      <c r="D28" s="79" t="s">
        <v>219</v>
      </c>
      <c r="E28" s="79"/>
      <c r="F28" s="79" t="s">
        <v>219</v>
      </c>
      <c r="G28" s="79"/>
      <c r="H28" s="79" t="s">
        <v>179</v>
      </c>
      <c r="I28" s="79"/>
      <c r="J28" s="79" t="s">
        <v>186</v>
      </c>
      <c r="K28" s="79"/>
      <c r="L28" s="79" t="s">
        <v>217</v>
      </c>
      <c r="M28" s="79"/>
      <c r="N28" s="79" t="s">
        <v>217</v>
      </c>
      <c r="O28" s="79"/>
      <c r="P28" s="84" t="s">
        <v>217</v>
      </c>
    </row>
    <row r="29" spans="2:16" ht="17.25" thickBot="1" x14ac:dyDescent="0.35">
      <c r="B29" s="85" t="s">
        <v>220</v>
      </c>
      <c r="C29" s="86"/>
      <c r="D29" s="86" t="s">
        <v>221</v>
      </c>
      <c r="E29" s="86"/>
      <c r="F29" s="86" t="s">
        <v>219</v>
      </c>
      <c r="G29" s="86"/>
      <c r="H29" s="86" t="s">
        <v>219</v>
      </c>
      <c r="I29" s="86"/>
      <c r="J29" s="86" t="s">
        <v>219</v>
      </c>
      <c r="K29" s="86"/>
      <c r="L29" s="86" t="s">
        <v>179</v>
      </c>
      <c r="M29" s="86"/>
      <c r="N29" s="86" t="s">
        <v>186</v>
      </c>
      <c r="O29" s="86"/>
      <c r="P29" s="87" t="s">
        <v>217</v>
      </c>
    </row>
    <row r="30" spans="2:16" x14ac:dyDescent="0.3">
      <c r="B30" s="79" t="s">
        <v>222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2" spans="2:16" ht="17.25" thickBot="1" x14ac:dyDescent="0.3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 ht="17.25" thickBot="1" x14ac:dyDescent="0.35">
      <c r="B33" s="126" t="s">
        <v>223</v>
      </c>
      <c r="C33" s="124" t="s">
        <v>224</v>
      </c>
      <c r="D33" s="125"/>
      <c r="E33" s="124" t="s">
        <v>225</v>
      </c>
      <c r="F33" s="125"/>
      <c r="G33" s="124" t="s">
        <v>226</v>
      </c>
      <c r="H33" s="125"/>
      <c r="I33" s="124" t="s">
        <v>227</v>
      </c>
      <c r="J33" s="125"/>
      <c r="K33" s="124" t="s">
        <v>228</v>
      </c>
      <c r="L33" s="125"/>
      <c r="M33" s="124" t="s">
        <v>229</v>
      </c>
      <c r="N33" s="125"/>
      <c r="O33" s="128" t="s">
        <v>230</v>
      </c>
      <c r="P33" s="125"/>
    </row>
    <row r="34" spans="2:16" ht="17.25" thickBot="1" x14ac:dyDescent="0.35">
      <c r="B34" s="127"/>
      <c r="C34" s="88" t="s">
        <v>231</v>
      </c>
      <c r="D34" s="89" t="s">
        <v>128</v>
      </c>
      <c r="E34" s="88" t="s">
        <v>232</v>
      </c>
      <c r="F34" s="89" t="s">
        <v>233</v>
      </c>
      <c r="G34" s="88" t="s">
        <v>232</v>
      </c>
      <c r="H34" s="89" t="s">
        <v>233</v>
      </c>
      <c r="I34" s="88" t="s">
        <v>232</v>
      </c>
      <c r="J34" s="89" t="s">
        <v>233</v>
      </c>
      <c r="K34" s="88" t="s">
        <v>232</v>
      </c>
      <c r="L34" s="89" t="s">
        <v>233</v>
      </c>
      <c r="M34" s="88" t="s">
        <v>232</v>
      </c>
      <c r="N34" s="89" t="s">
        <v>233</v>
      </c>
      <c r="O34" s="90" t="s">
        <v>232</v>
      </c>
      <c r="P34" s="89" t="s">
        <v>233</v>
      </c>
    </row>
    <row r="35" spans="2:16" x14ac:dyDescent="0.3">
      <c r="B35" s="91" t="s">
        <v>234</v>
      </c>
      <c r="C35" s="92">
        <v>0</v>
      </c>
      <c r="D35" s="93">
        <v>0</v>
      </c>
      <c r="E35" s="92"/>
      <c r="F35" s="93"/>
      <c r="G35" s="92"/>
      <c r="H35" s="93"/>
      <c r="I35" s="92"/>
      <c r="J35" s="93"/>
      <c r="K35" s="92"/>
      <c r="L35" s="93"/>
      <c r="M35" s="92"/>
      <c r="N35" s="93"/>
      <c r="O35" s="92"/>
      <c r="P35" s="93"/>
    </row>
    <row r="36" spans="2:16" x14ac:dyDescent="0.3">
      <c r="B36" s="94" t="s">
        <v>235</v>
      </c>
      <c r="C36" s="95">
        <v>0</v>
      </c>
      <c r="D36" s="96">
        <v>0</v>
      </c>
      <c r="E36" s="95"/>
      <c r="F36" s="96">
        <v>3</v>
      </c>
      <c r="G36" s="95"/>
      <c r="H36" s="96">
        <v>9</v>
      </c>
      <c r="I36" s="95">
        <v>1</v>
      </c>
      <c r="J36" s="96">
        <v>14</v>
      </c>
      <c r="K36" s="95">
        <v>2</v>
      </c>
      <c r="L36" s="96">
        <v>21</v>
      </c>
      <c r="M36" s="95">
        <v>4</v>
      </c>
      <c r="N36" s="96">
        <v>26</v>
      </c>
      <c r="O36" s="95">
        <v>5</v>
      </c>
      <c r="P36" s="96">
        <v>32</v>
      </c>
    </row>
    <row r="37" spans="2:16" x14ac:dyDescent="0.3">
      <c r="B37" s="94" t="s">
        <v>236</v>
      </c>
      <c r="C37" s="97">
        <v>0</v>
      </c>
      <c r="D37" s="98">
        <v>13</v>
      </c>
      <c r="E37" s="97">
        <v>4</v>
      </c>
      <c r="F37" s="98">
        <v>31</v>
      </c>
      <c r="G37" s="97">
        <v>6</v>
      </c>
      <c r="H37" s="98">
        <v>47</v>
      </c>
      <c r="I37" s="97">
        <v>8</v>
      </c>
      <c r="J37" s="98">
        <v>63</v>
      </c>
      <c r="K37" s="97">
        <v>10</v>
      </c>
      <c r="L37" s="98">
        <v>78</v>
      </c>
      <c r="M37" s="97">
        <v>12</v>
      </c>
      <c r="N37" s="98">
        <v>94</v>
      </c>
      <c r="O37" s="97">
        <v>14</v>
      </c>
      <c r="P37" s="98">
        <v>110</v>
      </c>
    </row>
    <row r="38" spans="2:16" ht="17.25" thickBot="1" x14ac:dyDescent="0.35">
      <c r="B38" s="99" t="s">
        <v>237</v>
      </c>
      <c r="C38" s="100">
        <v>3</v>
      </c>
      <c r="D38" s="101">
        <v>14</v>
      </c>
      <c r="E38" s="100">
        <v>2</v>
      </c>
      <c r="F38" s="101">
        <v>28</v>
      </c>
      <c r="G38" s="100">
        <v>8</v>
      </c>
      <c r="H38" s="101">
        <v>42</v>
      </c>
      <c r="I38" s="100">
        <v>11</v>
      </c>
      <c r="J38" s="101">
        <v>56</v>
      </c>
      <c r="K38" s="100">
        <v>13</v>
      </c>
      <c r="L38" s="101">
        <v>70</v>
      </c>
      <c r="M38" s="100">
        <v>16</v>
      </c>
      <c r="N38" s="101">
        <v>84</v>
      </c>
      <c r="O38" s="100">
        <v>19</v>
      </c>
      <c r="P38" s="101">
        <v>98</v>
      </c>
    </row>
    <row r="39" spans="2:16" x14ac:dyDescent="0.3">
      <c r="B39" s="79" t="s">
        <v>238</v>
      </c>
      <c r="C39" s="102">
        <v>300</v>
      </c>
      <c r="D39" s="102">
        <v>4000</v>
      </c>
      <c r="E39" s="102">
        <v>1000</v>
      </c>
      <c r="F39" s="102">
        <v>9750</v>
      </c>
      <c r="G39" s="102">
        <v>2000</v>
      </c>
      <c r="H39" s="102">
        <v>15850</v>
      </c>
      <c r="I39" s="102">
        <v>2950</v>
      </c>
      <c r="J39" s="102">
        <v>21700</v>
      </c>
      <c r="K39" s="102">
        <v>3800</v>
      </c>
      <c r="L39" s="102">
        <v>27850</v>
      </c>
      <c r="M39" s="102">
        <v>5000</v>
      </c>
      <c r="N39" s="102">
        <v>33700</v>
      </c>
      <c r="O39" s="102">
        <v>5950</v>
      </c>
      <c r="P39" s="102">
        <v>39800</v>
      </c>
    </row>
    <row r="41" spans="2:16" ht="23.25" thickBot="1" x14ac:dyDescent="0.35">
      <c r="B41" s="78" t="s">
        <v>239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 ht="23.25" thickBot="1" x14ac:dyDescent="0.35">
      <c r="B42" s="78"/>
      <c r="C42" s="124" t="s">
        <v>224</v>
      </c>
      <c r="D42" s="125"/>
      <c r="E42" s="124" t="s">
        <v>225</v>
      </c>
      <c r="F42" s="125"/>
      <c r="G42" s="124" t="s">
        <v>226</v>
      </c>
      <c r="H42" s="125"/>
      <c r="I42" s="124" t="s">
        <v>227</v>
      </c>
      <c r="J42" s="125"/>
      <c r="K42" s="124" t="s">
        <v>228</v>
      </c>
      <c r="L42" s="125"/>
      <c r="M42" s="124" t="s">
        <v>229</v>
      </c>
      <c r="N42" s="125"/>
      <c r="O42" s="128" t="s">
        <v>230</v>
      </c>
      <c r="P42" s="125"/>
    </row>
    <row r="43" spans="2:16" ht="17.25" thickBot="1" x14ac:dyDescent="0.35">
      <c r="B43" s="79"/>
      <c r="C43" s="88" t="s">
        <v>231</v>
      </c>
      <c r="D43" s="89" t="s">
        <v>128</v>
      </c>
      <c r="E43" s="88" t="s">
        <v>231</v>
      </c>
      <c r="F43" s="89" t="s">
        <v>128</v>
      </c>
      <c r="G43" s="88" t="s">
        <v>231</v>
      </c>
      <c r="H43" s="89" t="s">
        <v>128</v>
      </c>
      <c r="I43" s="88" t="s">
        <v>231</v>
      </c>
      <c r="J43" s="89" t="s">
        <v>128</v>
      </c>
      <c r="K43" s="88" t="s">
        <v>231</v>
      </c>
      <c r="L43" s="89" t="s">
        <v>128</v>
      </c>
      <c r="M43" s="88" t="s">
        <v>231</v>
      </c>
      <c r="N43" s="89" t="s">
        <v>128</v>
      </c>
      <c r="O43" s="88" t="s">
        <v>231</v>
      </c>
      <c r="P43" s="89" t="s">
        <v>128</v>
      </c>
    </row>
    <row r="44" spans="2:16" ht="17.25" thickBot="1" x14ac:dyDescent="0.35">
      <c r="B44" s="103" t="s">
        <v>240</v>
      </c>
      <c r="C44" s="88">
        <v>1</v>
      </c>
      <c r="D44" s="88">
        <v>2</v>
      </c>
      <c r="E44" s="88">
        <v>1</v>
      </c>
      <c r="F44" s="88">
        <v>4</v>
      </c>
      <c r="G44" s="88">
        <v>1</v>
      </c>
      <c r="H44" s="88">
        <v>6</v>
      </c>
      <c r="I44" s="88">
        <v>1</v>
      </c>
      <c r="J44" s="88">
        <v>7</v>
      </c>
      <c r="K44" s="88">
        <v>2</v>
      </c>
      <c r="L44" s="88">
        <v>7</v>
      </c>
      <c r="M44" s="88">
        <v>2</v>
      </c>
      <c r="N44" s="88">
        <v>8</v>
      </c>
      <c r="O44" s="88">
        <v>3</v>
      </c>
      <c r="P44" s="104">
        <v>9</v>
      </c>
    </row>
    <row r="47" spans="2:16" ht="23.25" thickBot="1" x14ac:dyDescent="0.35">
      <c r="B47" s="78" t="s">
        <v>241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 ht="23.25" thickBot="1" x14ac:dyDescent="0.35">
      <c r="B48" s="78"/>
      <c r="C48" s="124" t="s">
        <v>224</v>
      </c>
      <c r="D48" s="125"/>
      <c r="E48" s="124" t="s">
        <v>225</v>
      </c>
      <c r="F48" s="125"/>
      <c r="G48" s="124" t="s">
        <v>226</v>
      </c>
      <c r="H48" s="125"/>
      <c r="I48" s="124" t="s">
        <v>227</v>
      </c>
      <c r="J48" s="125"/>
      <c r="K48" s="124" t="s">
        <v>228</v>
      </c>
      <c r="L48" s="125"/>
      <c r="M48" s="124" t="s">
        <v>229</v>
      </c>
      <c r="N48" s="125"/>
      <c r="O48" s="124" t="s">
        <v>230</v>
      </c>
      <c r="P48" s="125"/>
    </row>
    <row r="49" spans="2:16" ht="17.25" thickBot="1" x14ac:dyDescent="0.35">
      <c r="B49" s="79"/>
      <c r="C49" s="88" t="s">
        <v>231</v>
      </c>
      <c r="D49" s="89" t="s">
        <v>128</v>
      </c>
      <c r="E49" s="88" t="s">
        <v>231</v>
      </c>
      <c r="F49" s="89" t="s">
        <v>128</v>
      </c>
      <c r="G49" s="88" t="s">
        <v>231</v>
      </c>
      <c r="H49" s="89" t="s">
        <v>128</v>
      </c>
      <c r="I49" s="88" t="s">
        <v>231</v>
      </c>
      <c r="J49" s="89" t="s">
        <v>128</v>
      </c>
      <c r="K49" s="88" t="s">
        <v>231</v>
      </c>
      <c r="L49" s="89" t="s">
        <v>128</v>
      </c>
      <c r="M49" s="88" t="s">
        <v>231</v>
      </c>
      <c r="N49" s="89" t="s">
        <v>128</v>
      </c>
      <c r="O49" s="88" t="s">
        <v>231</v>
      </c>
      <c r="P49" s="89" t="s">
        <v>128</v>
      </c>
    </row>
    <row r="50" spans="2:16" ht="17.25" thickBot="1" x14ac:dyDescent="0.35">
      <c r="B50" s="103" t="s">
        <v>240</v>
      </c>
      <c r="C50" s="88">
        <v>1</v>
      </c>
      <c r="D50" s="88">
        <v>5</v>
      </c>
      <c r="E50" s="88">
        <v>1</v>
      </c>
      <c r="F50" s="88">
        <v>8</v>
      </c>
      <c r="G50" s="88">
        <v>3</v>
      </c>
      <c r="H50" s="88">
        <v>9</v>
      </c>
      <c r="I50" s="88">
        <v>4</v>
      </c>
      <c r="J50" s="88">
        <v>11</v>
      </c>
      <c r="K50" s="88">
        <v>5</v>
      </c>
      <c r="L50" s="88">
        <v>12</v>
      </c>
      <c r="M50" s="88">
        <v>5</v>
      </c>
      <c r="N50" s="88">
        <v>14</v>
      </c>
      <c r="O50" s="88">
        <v>6</v>
      </c>
      <c r="P50" s="104">
        <v>15</v>
      </c>
    </row>
    <row r="53" spans="2:16" ht="25.5" thickBot="1" x14ac:dyDescent="0.45">
      <c r="B53" s="77" t="s">
        <v>14</v>
      </c>
    </row>
    <row r="54" spans="2:16" ht="17.25" thickBot="1" x14ac:dyDescent="0.35">
      <c r="B54" s="131" t="s">
        <v>242</v>
      </c>
      <c r="C54" s="124" t="s">
        <v>224</v>
      </c>
      <c r="D54" s="125"/>
      <c r="E54" s="124" t="s">
        <v>225</v>
      </c>
      <c r="F54" s="125"/>
      <c r="G54" s="124" t="s">
        <v>226</v>
      </c>
      <c r="H54" s="125"/>
      <c r="I54" s="124" t="s">
        <v>227</v>
      </c>
      <c r="J54" s="125"/>
      <c r="K54" s="124" t="s">
        <v>228</v>
      </c>
      <c r="L54" s="125"/>
      <c r="M54" s="124" t="s">
        <v>229</v>
      </c>
      <c r="N54" s="125"/>
      <c r="O54" s="128" t="s">
        <v>230</v>
      </c>
      <c r="P54" s="125"/>
    </row>
    <row r="55" spans="2:16" ht="17.25" thickBot="1" x14ac:dyDescent="0.35">
      <c r="B55" s="132"/>
      <c r="C55" s="88" t="s">
        <v>231</v>
      </c>
      <c r="D55" s="89" t="s">
        <v>128</v>
      </c>
      <c r="E55" s="88" t="s">
        <v>231</v>
      </c>
      <c r="F55" s="89" t="s">
        <v>128</v>
      </c>
      <c r="G55" s="88" t="s">
        <v>231</v>
      </c>
      <c r="H55" s="89" t="s">
        <v>128</v>
      </c>
      <c r="I55" s="88" t="s">
        <v>231</v>
      </c>
      <c r="J55" s="89" t="s">
        <v>128</v>
      </c>
      <c r="K55" s="88" t="s">
        <v>231</v>
      </c>
      <c r="L55" s="89" t="s">
        <v>128</v>
      </c>
      <c r="M55" s="88" t="s">
        <v>231</v>
      </c>
      <c r="N55" s="89" t="s">
        <v>128</v>
      </c>
      <c r="O55" s="90" t="s">
        <v>231</v>
      </c>
      <c r="P55" s="89" t="s">
        <v>128</v>
      </c>
    </row>
    <row r="56" spans="2:16" x14ac:dyDescent="0.3">
      <c r="B56" s="80" t="s">
        <v>216</v>
      </c>
      <c r="C56" s="80" t="s">
        <v>243</v>
      </c>
      <c r="D56" s="82" t="s">
        <v>244</v>
      </c>
      <c r="E56" s="80" t="s">
        <v>244</v>
      </c>
      <c r="F56" s="82" t="s">
        <v>245</v>
      </c>
      <c r="G56" s="80" t="s">
        <v>246</v>
      </c>
      <c r="H56" s="82" t="s">
        <v>247</v>
      </c>
      <c r="I56" s="80" t="s">
        <v>245</v>
      </c>
      <c r="J56" s="82" t="s">
        <v>248</v>
      </c>
      <c r="K56" s="80" t="s">
        <v>249</v>
      </c>
      <c r="L56" s="82" t="s">
        <v>250</v>
      </c>
      <c r="M56" s="80" t="s">
        <v>247</v>
      </c>
      <c r="N56" s="82" t="s">
        <v>251</v>
      </c>
      <c r="O56" s="81" t="s">
        <v>252</v>
      </c>
      <c r="P56" s="82" t="s">
        <v>253</v>
      </c>
    </row>
    <row r="57" spans="2:16" x14ac:dyDescent="0.3">
      <c r="B57" s="83" t="s">
        <v>218</v>
      </c>
      <c r="C57" s="83"/>
      <c r="D57" s="84" t="s">
        <v>254</v>
      </c>
      <c r="E57" s="83" t="s">
        <v>254</v>
      </c>
      <c r="F57" s="84" t="s">
        <v>255</v>
      </c>
      <c r="G57" s="83" t="s">
        <v>256</v>
      </c>
      <c r="H57" s="84" t="s">
        <v>257</v>
      </c>
      <c r="I57" s="83" t="s">
        <v>255</v>
      </c>
      <c r="J57" s="84" t="s">
        <v>258</v>
      </c>
      <c r="K57" s="83" t="s">
        <v>259</v>
      </c>
      <c r="L57" s="84" t="s">
        <v>258</v>
      </c>
      <c r="M57" s="83" t="s">
        <v>257</v>
      </c>
      <c r="N57" s="84" t="s">
        <v>258</v>
      </c>
      <c r="O57" s="79" t="s">
        <v>258</v>
      </c>
      <c r="P57" s="84" t="s">
        <v>258</v>
      </c>
    </row>
    <row r="58" spans="2:16" ht="17.25" thickBot="1" x14ac:dyDescent="0.35">
      <c r="B58" s="85" t="s">
        <v>220</v>
      </c>
      <c r="C58" s="85"/>
      <c r="D58" s="87"/>
      <c r="E58" s="85"/>
      <c r="F58" s="87" t="s">
        <v>260</v>
      </c>
      <c r="G58" s="85"/>
      <c r="H58" s="87" t="s">
        <v>256</v>
      </c>
      <c r="I58" s="85" t="s">
        <v>260</v>
      </c>
      <c r="J58" s="87" t="s">
        <v>261</v>
      </c>
      <c r="K58" s="85" t="s">
        <v>256</v>
      </c>
      <c r="L58" s="87" t="s">
        <v>258</v>
      </c>
      <c r="M58" s="85" t="s">
        <v>256</v>
      </c>
      <c r="N58" s="87" t="s">
        <v>258</v>
      </c>
      <c r="O58" s="86" t="s">
        <v>262</v>
      </c>
      <c r="P58" s="87" t="s">
        <v>258</v>
      </c>
    </row>
    <row r="60" spans="2:16" ht="17.25" thickBot="1" x14ac:dyDescent="0.3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 ht="17.25" thickBot="1" x14ac:dyDescent="0.35">
      <c r="B61" s="79"/>
      <c r="C61" s="88" t="s">
        <v>231</v>
      </c>
      <c r="D61" s="89" t="s">
        <v>128</v>
      </c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 x14ac:dyDescent="0.3">
      <c r="B62" s="79" t="s">
        <v>263</v>
      </c>
      <c r="C62" s="105">
        <v>4000</v>
      </c>
      <c r="D62" s="105">
        <v>20000</v>
      </c>
      <c r="E62" s="79" t="s">
        <v>264</v>
      </c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4" spans="2:16" ht="17.25" thickBot="1" x14ac:dyDescent="0.3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 ht="17.25" thickBot="1" x14ac:dyDescent="0.35">
      <c r="B65" s="129" t="s">
        <v>265</v>
      </c>
      <c r="C65" s="124" t="s">
        <v>224</v>
      </c>
      <c r="D65" s="125"/>
      <c r="E65" s="124" t="s">
        <v>225</v>
      </c>
      <c r="F65" s="125"/>
      <c r="G65" s="124" t="s">
        <v>226</v>
      </c>
      <c r="H65" s="125"/>
      <c r="I65" s="124" t="s">
        <v>227</v>
      </c>
      <c r="J65" s="125"/>
      <c r="K65" s="124" t="s">
        <v>228</v>
      </c>
      <c r="L65" s="125"/>
      <c r="M65" s="124" t="s">
        <v>229</v>
      </c>
      <c r="N65" s="125"/>
      <c r="O65" s="128" t="s">
        <v>230</v>
      </c>
      <c r="P65" s="125"/>
    </row>
    <row r="66" spans="2:16" ht="17.25" thickBot="1" x14ac:dyDescent="0.35">
      <c r="B66" s="130"/>
      <c r="C66" s="88" t="s">
        <v>231</v>
      </c>
      <c r="D66" s="89" t="s">
        <v>128</v>
      </c>
      <c r="E66" s="88" t="s">
        <v>231</v>
      </c>
      <c r="F66" s="89" t="s">
        <v>128</v>
      </c>
      <c r="G66" s="88" t="s">
        <v>231</v>
      </c>
      <c r="H66" s="89" t="s">
        <v>128</v>
      </c>
      <c r="I66" s="88" t="s">
        <v>231</v>
      </c>
      <c r="J66" s="89" t="s">
        <v>128</v>
      </c>
      <c r="K66" s="88" t="s">
        <v>231</v>
      </c>
      <c r="L66" s="89" t="s">
        <v>128</v>
      </c>
      <c r="M66" s="88" t="s">
        <v>231</v>
      </c>
      <c r="N66" s="89" t="s">
        <v>128</v>
      </c>
      <c r="O66" s="90" t="s">
        <v>231</v>
      </c>
      <c r="P66" s="89" t="s">
        <v>128</v>
      </c>
    </row>
    <row r="67" spans="2:16" ht="23.25" thickBot="1" x14ac:dyDescent="0.35">
      <c r="B67" s="106"/>
      <c r="C67" s="107">
        <v>4000</v>
      </c>
      <c r="D67" s="108">
        <v>20000</v>
      </c>
      <c r="E67" s="107">
        <v>8000</v>
      </c>
      <c r="F67" s="107">
        <v>40000</v>
      </c>
      <c r="G67" s="107">
        <v>12000</v>
      </c>
      <c r="H67" s="107">
        <v>60000</v>
      </c>
      <c r="I67" s="107">
        <v>16000</v>
      </c>
      <c r="J67" s="107">
        <v>80000</v>
      </c>
      <c r="K67" s="107">
        <v>20000</v>
      </c>
      <c r="L67" s="107">
        <v>100000</v>
      </c>
      <c r="M67" s="91">
        <v>24000</v>
      </c>
      <c r="N67" s="108">
        <v>120000</v>
      </c>
      <c r="O67" s="107">
        <v>28000</v>
      </c>
      <c r="P67" s="91">
        <v>140000</v>
      </c>
    </row>
    <row r="68" spans="2:16" x14ac:dyDescent="0.3">
      <c r="B68" s="80" t="s">
        <v>216</v>
      </c>
      <c r="C68" s="107">
        <v>2</v>
      </c>
      <c r="D68" s="107">
        <v>5</v>
      </c>
      <c r="E68" s="107">
        <v>3</v>
      </c>
      <c r="F68" s="107">
        <v>7</v>
      </c>
      <c r="G68" s="107">
        <v>4</v>
      </c>
      <c r="H68" s="107">
        <v>8</v>
      </c>
      <c r="I68" s="107">
        <v>4</v>
      </c>
      <c r="J68" s="107">
        <v>9</v>
      </c>
      <c r="K68" s="107">
        <v>5</v>
      </c>
      <c r="L68" s="107">
        <v>10</v>
      </c>
      <c r="M68" s="91">
        <v>5</v>
      </c>
      <c r="N68" s="108">
        <v>10</v>
      </c>
      <c r="O68" s="107">
        <v>6</v>
      </c>
      <c r="P68" s="91">
        <v>10</v>
      </c>
    </row>
    <row r="69" spans="2:16" x14ac:dyDescent="0.3">
      <c r="B69" s="83" t="s">
        <v>218</v>
      </c>
      <c r="C69" s="109" t="s">
        <v>266</v>
      </c>
      <c r="D69" s="109" t="s">
        <v>266</v>
      </c>
      <c r="E69" s="109" t="s">
        <v>266</v>
      </c>
      <c r="F69" s="109" t="s">
        <v>266</v>
      </c>
      <c r="G69" s="109" t="s">
        <v>266</v>
      </c>
      <c r="H69" s="109" t="s">
        <v>266</v>
      </c>
      <c r="I69" s="109" t="s">
        <v>266</v>
      </c>
      <c r="J69" s="109" t="s">
        <v>266</v>
      </c>
      <c r="K69" s="109" t="s">
        <v>266</v>
      </c>
      <c r="L69" s="109">
        <v>4</v>
      </c>
      <c r="M69" s="94" t="s">
        <v>266</v>
      </c>
      <c r="N69" s="102">
        <v>6</v>
      </c>
      <c r="O69" s="94" t="s">
        <v>266</v>
      </c>
      <c r="P69" s="94">
        <v>8</v>
      </c>
    </row>
    <row r="70" spans="2:16" ht="17.25" thickBot="1" x14ac:dyDescent="0.35">
      <c r="B70" s="85" t="s">
        <v>220</v>
      </c>
      <c r="C70" s="110" t="s">
        <v>266</v>
      </c>
      <c r="D70" s="110" t="s">
        <v>266</v>
      </c>
      <c r="E70" s="110" t="s">
        <v>266</v>
      </c>
      <c r="F70" s="110" t="s">
        <v>266</v>
      </c>
      <c r="G70" s="110" t="s">
        <v>266</v>
      </c>
      <c r="H70" s="110" t="s">
        <v>266</v>
      </c>
      <c r="I70" s="110" t="s">
        <v>266</v>
      </c>
      <c r="J70" s="110" t="s">
        <v>266</v>
      </c>
      <c r="K70" s="110" t="s">
        <v>266</v>
      </c>
      <c r="L70" s="110" t="s">
        <v>266</v>
      </c>
      <c r="M70" s="99" t="s">
        <v>266</v>
      </c>
      <c r="N70" s="111" t="s">
        <v>266</v>
      </c>
      <c r="O70" s="99" t="s">
        <v>266</v>
      </c>
      <c r="P70" s="99" t="s">
        <v>266</v>
      </c>
    </row>
  </sheetData>
  <mergeCells count="38">
    <mergeCell ref="B65:B66"/>
    <mergeCell ref="B54:B55"/>
    <mergeCell ref="O54:P54"/>
    <mergeCell ref="C65:D65"/>
    <mergeCell ref="E65:F65"/>
    <mergeCell ref="G65:H65"/>
    <mergeCell ref="I65:J65"/>
    <mergeCell ref="K65:L65"/>
    <mergeCell ref="M65:N65"/>
    <mergeCell ref="O65:P65"/>
    <mergeCell ref="C54:D54"/>
    <mergeCell ref="E54:F54"/>
    <mergeCell ref="G54:H54"/>
    <mergeCell ref="I54:J54"/>
    <mergeCell ref="K54:L54"/>
    <mergeCell ref="M54:N54"/>
    <mergeCell ref="C42:D42"/>
    <mergeCell ref="E42:F42"/>
    <mergeCell ref="G42:H42"/>
    <mergeCell ref="I42:J42"/>
    <mergeCell ref="K42:L42"/>
    <mergeCell ref="K33:L33"/>
    <mergeCell ref="M33:N33"/>
    <mergeCell ref="O33:P33"/>
    <mergeCell ref="M42:N42"/>
    <mergeCell ref="O42:P42"/>
    <mergeCell ref="B33:B34"/>
    <mergeCell ref="C33:D33"/>
    <mergeCell ref="E33:F33"/>
    <mergeCell ref="G33:H33"/>
    <mergeCell ref="I33:J33"/>
    <mergeCell ref="M48:N48"/>
    <mergeCell ref="O48:P48"/>
    <mergeCell ref="C48:D48"/>
    <mergeCell ref="E48:F48"/>
    <mergeCell ref="G48:H48"/>
    <mergeCell ref="I48:J48"/>
    <mergeCell ref="K48:L4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P50"/>
  <sheetViews>
    <sheetView workbookViewId="0">
      <selection activeCell="R46" sqref="R46"/>
    </sheetView>
  </sheetViews>
  <sheetFormatPr defaultColWidth="8.625" defaultRowHeight="16.5" x14ac:dyDescent="0.3"/>
  <cols>
    <col min="1" max="16384" width="8.625" style="40"/>
  </cols>
  <sheetData>
    <row r="1" spans="1:42" x14ac:dyDescent="0.3">
      <c r="A1" s="136" t="s">
        <v>109</v>
      </c>
      <c r="B1" s="137"/>
      <c r="C1" s="137"/>
      <c r="D1" s="137"/>
      <c r="E1" s="137"/>
      <c r="F1" s="138"/>
      <c r="G1" s="136" t="s">
        <v>110</v>
      </c>
      <c r="H1" s="137"/>
      <c r="I1" s="137"/>
      <c r="J1" s="137"/>
      <c r="K1" s="137"/>
      <c r="L1" s="138"/>
      <c r="M1" s="136" t="s">
        <v>111</v>
      </c>
      <c r="N1" s="137"/>
      <c r="O1" s="137"/>
      <c r="P1" s="137"/>
      <c r="Q1" s="137"/>
      <c r="R1" s="138"/>
      <c r="S1" s="136" t="s">
        <v>112</v>
      </c>
      <c r="T1" s="137"/>
      <c r="U1" s="137"/>
      <c r="V1" s="137"/>
      <c r="W1" s="137"/>
      <c r="X1" s="138"/>
      <c r="Y1" s="136" t="s">
        <v>113</v>
      </c>
      <c r="Z1" s="137"/>
      <c r="AA1" s="137"/>
      <c r="AB1" s="137"/>
      <c r="AC1" s="137"/>
      <c r="AD1" s="138"/>
      <c r="AE1" s="136" t="s">
        <v>114</v>
      </c>
      <c r="AF1" s="137"/>
      <c r="AG1" s="137"/>
      <c r="AH1" s="137"/>
      <c r="AI1" s="137"/>
      <c r="AJ1" s="138"/>
      <c r="AK1" s="136" t="s">
        <v>115</v>
      </c>
      <c r="AL1" s="137"/>
      <c r="AM1" s="137"/>
      <c r="AN1" s="137"/>
      <c r="AO1" s="137"/>
      <c r="AP1" s="138"/>
    </row>
    <row r="2" spans="1:42" x14ac:dyDescent="0.3">
      <c r="A2" s="133" t="s">
        <v>100</v>
      </c>
      <c r="B2" s="134"/>
      <c r="C2" s="134" t="s">
        <v>104</v>
      </c>
      <c r="D2" s="134"/>
      <c r="E2" s="134" t="s">
        <v>105</v>
      </c>
      <c r="F2" s="135"/>
      <c r="G2" s="139" t="s">
        <v>100</v>
      </c>
      <c r="H2" s="134"/>
      <c r="I2" s="134" t="s">
        <v>104</v>
      </c>
      <c r="J2" s="134"/>
      <c r="K2" s="134" t="s">
        <v>105</v>
      </c>
      <c r="L2" s="135"/>
      <c r="M2" s="133" t="s">
        <v>100</v>
      </c>
      <c r="N2" s="134"/>
      <c r="O2" s="134" t="s">
        <v>104</v>
      </c>
      <c r="P2" s="134"/>
      <c r="Q2" s="134" t="s">
        <v>105</v>
      </c>
      <c r="R2" s="135"/>
      <c r="S2" s="133" t="s">
        <v>100</v>
      </c>
      <c r="T2" s="134"/>
      <c r="U2" s="134" t="s">
        <v>104</v>
      </c>
      <c r="V2" s="134"/>
      <c r="W2" s="134" t="s">
        <v>105</v>
      </c>
      <c r="X2" s="135"/>
      <c r="Y2" s="133" t="s">
        <v>100</v>
      </c>
      <c r="Z2" s="134"/>
      <c r="AA2" s="134" t="s">
        <v>104</v>
      </c>
      <c r="AB2" s="134"/>
      <c r="AC2" s="134" t="s">
        <v>105</v>
      </c>
      <c r="AD2" s="135"/>
      <c r="AE2" s="133" t="s">
        <v>100</v>
      </c>
      <c r="AF2" s="134"/>
      <c r="AG2" s="134" t="s">
        <v>104</v>
      </c>
      <c r="AH2" s="134"/>
      <c r="AI2" s="134" t="s">
        <v>105</v>
      </c>
      <c r="AJ2" s="135"/>
      <c r="AK2" s="133" t="s">
        <v>100</v>
      </c>
      <c r="AL2" s="134"/>
      <c r="AM2" s="134" t="s">
        <v>104</v>
      </c>
      <c r="AN2" s="134"/>
      <c r="AO2" s="134" t="s">
        <v>105</v>
      </c>
      <c r="AP2" s="135"/>
    </row>
    <row r="3" spans="1:42" x14ac:dyDescent="0.3">
      <c r="A3" s="46" t="s">
        <v>42</v>
      </c>
      <c r="B3" s="39">
        <v>3</v>
      </c>
      <c r="C3" s="39" t="s">
        <v>42</v>
      </c>
      <c r="D3" s="39">
        <v>2</v>
      </c>
      <c r="E3" s="39" t="s">
        <v>42</v>
      </c>
      <c r="F3" s="47">
        <v>2</v>
      </c>
      <c r="G3" s="44" t="s">
        <v>42</v>
      </c>
      <c r="H3" s="39">
        <v>3</v>
      </c>
      <c r="I3" s="39" t="s">
        <v>42</v>
      </c>
      <c r="J3" s="39">
        <v>3</v>
      </c>
      <c r="K3" s="39" t="s">
        <v>42</v>
      </c>
      <c r="L3" s="47">
        <v>2</v>
      </c>
      <c r="M3" s="46" t="s">
        <v>42</v>
      </c>
      <c r="N3" s="39">
        <v>3</v>
      </c>
      <c r="O3" s="39" t="s">
        <v>42</v>
      </c>
      <c r="P3" s="39">
        <v>3</v>
      </c>
      <c r="Q3" s="39" t="s">
        <v>42</v>
      </c>
      <c r="R3" s="47">
        <v>3</v>
      </c>
      <c r="S3" s="46" t="s">
        <v>42</v>
      </c>
      <c r="T3" s="39">
        <v>3</v>
      </c>
      <c r="U3" s="39" t="s">
        <v>42</v>
      </c>
      <c r="V3" s="39">
        <v>3</v>
      </c>
      <c r="W3" s="39" t="s">
        <v>42</v>
      </c>
      <c r="X3" s="47">
        <v>3</v>
      </c>
      <c r="Y3" s="46" t="s">
        <v>42</v>
      </c>
      <c r="Z3" s="39">
        <v>3</v>
      </c>
      <c r="AA3" s="39" t="s">
        <v>42</v>
      </c>
      <c r="AB3" s="39">
        <v>3</v>
      </c>
      <c r="AC3" s="39" t="s">
        <v>42</v>
      </c>
      <c r="AD3" s="47">
        <v>3</v>
      </c>
      <c r="AE3" s="46" t="s">
        <v>42</v>
      </c>
      <c r="AF3" s="39">
        <v>3</v>
      </c>
      <c r="AG3" s="39" t="s">
        <v>42</v>
      </c>
      <c r="AH3" s="39">
        <v>3</v>
      </c>
      <c r="AI3" s="39" t="s">
        <v>42</v>
      </c>
      <c r="AJ3" s="47">
        <v>3</v>
      </c>
      <c r="AK3" s="46" t="s">
        <v>42</v>
      </c>
      <c r="AL3" s="39">
        <v>3</v>
      </c>
      <c r="AM3" s="39" t="s">
        <v>42</v>
      </c>
      <c r="AN3" s="39">
        <v>3</v>
      </c>
      <c r="AO3" s="39" t="s">
        <v>42</v>
      </c>
      <c r="AP3" s="47">
        <v>3</v>
      </c>
    </row>
    <row r="4" spans="1:42" x14ac:dyDescent="0.3">
      <c r="A4" s="46" t="s">
        <v>33</v>
      </c>
      <c r="B4" s="39">
        <v>12</v>
      </c>
      <c r="C4" s="39" t="s">
        <v>33</v>
      </c>
      <c r="D4" s="39">
        <v>12</v>
      </c>
      <c r="E4" s="39" t="s">
        <v>33</v>
      </c>
      <c r="F4" s="47">
        <v>12</v>
      </c>
      <c r="G4" s="44" t="s">
        <v>33</v>
      </c>
      <c r="H4" s="39">
        <v>17</v>
      </c>
      <c r="I4" s="39" t="s">
        <v>33</v>
      </c>
      <c r="J4" s="39">
        <v>17</v>
      </c>
      <c r="K4" s="39" t="s">
        <v>33</v>
      </c>
      <c r="L4" s="47">
        <v>17</v>
      </c>
      <c r="M4" s="46" t="s">
        <v>33</v>
      </c>
      <c r="N4" s="39">
        <v>22</v>
      </c>
      <c r="O4" s="39" t="s">
        <v>33</v>
      </c>
      <c r="P4" s="39">
        <v>22</v>
      </c>
      <c r="Q4" s="39" t="s">
        <v>33</v>
      </c>
      <c r="R4" s="47">
        <v>22</v>
      </c>
      <c r="S4" s="46" t="s">
        <v>33</v>
      </c>
      <c r="T4" s="39">
        <v>24</v>
      </c>
      <c r="U4" s="39" t="s">
        <v>33</v>
      </c>
      <c r="V4" s="39">
        <v>24</v>
      </c>
      <c r="W4" s="39" t="s">
        <v>33</v>
      </c>
      <c r="X4" s="47">
        <v>24</v>
      </c>
      <c r="Y4" s="46" t="s">
        <v>33</v>
      </c>
      <c r="Z4" s="39">
        <v>26</v>
      </c>
      <c r="AA4" s="39" t="s">
        <v>33</v>
      </c>
      <c r="AB4" s="39">
        <v>26</v>
      </c>
      <c r="AC4" s="39" t="s">
        <v>33</v>
      </c>
      <c r="AD4" s="47">
        <v>26</v>
      </c>
      <c r="AE4" s="46" t="s">
        <v>33</v>
      </c>
      <c r="AF4" s="39">
        <v>28</v>
      </c>
      <c r="AG4" s="39" t="s">
        <v>33</v>
      </c>
      <c r="AH4" s="39">
        <v>28</v>
      </c>
      <c r="AI4" s="39" t="s">
        <v>33</v>
      </c>
      <c r="AJ4" s="47">
        <v>28</v>
      </c>
      <c r="AK4" s="46" t="s">
        <v>33</v>
      </c>
      <c r="AL4" s="39">
        <v>30</v>
      </c>
      <c r="AM4" s="39" t="s">
        <v>33</v>
      </c>
      <c r="AN4" s="39">
        <v>30</v>
      </c>
      <c r="AO4" s="39" t="s">
        <v>33</v>
      </c>
      <c r="AP4" s="47">
        <v>30</v>
      </c>
    </row>
    <row r="5" spans="1:42" x14ac:dyDescent="0.3">
      <c r="A5" s="46" t="s">
        <v>101</v>
      </c>
      <c r="B5" s="39">
        <v>2</v>
      </c>
      <c r="C5" s="39" t="s">
        <v>101</v>
      </c>
      <c r="D5" s="39">
        <v>2</v>
      </c>
      <c r="E5" s="39" t="s">
        <v>101</v>
      </c>
      <c r="F5" s="47">
        <v>3</v>
      </c>
      <c r="G5" s="44" t="s">
        <v>101</v>
      </c>
      <c r="H5" s="39">
        <v>3</v>
      </c>
      <c r="I5" s="39" t="s">
        <v>101</v>
      </c>
      <c r="J5" s="39">
        <v>3</v>
      </c>
      <c r="K5" s="39" t="s">
        <v>101</v>
      </c>
      <c r="L5" s="47">
        <v>3</v>
      </c>
      <c r="M5" s="46" t="s">
        <v>101</v>
      </c>
      <c r="N5" s="39">
        <v>3</v>
      </c>
      <c r="O5" s="39" t="s">
        <v>101</v>
      </c>
      <c r="P5" s="39">
        <v>3</v>
      </c>
      <c r="Q5" s="39" t="s">
        <v>101</v>
      </c>
      <c r="R5" s="47">
        <v>3</v>
      </c>
      <c r="S5" s="46" t="s">
        <v>101</v>
      </c>
      <c r="T5" s="39">
        <v>4</v>
      </c>
      <c r="U5" s="39" t="s">
        <v>101</v>
      </c>
      <c r="V5" s="39">
        <v>3</v>
      </c>
      <c r="W5" s="39" t="s">
        <v>101</v>
      </c>
      <c r="X5" s="47">
        <v>3</v>
      </c>
      <c r="Y5" s="46" t="s">
        <v>101</v>
      </c>
      <c r="Z5" s="39">
        <v>4</v>
      </c>
      <c r="AA5" s="39" t="s">
        <v>101</v>
      </c>
      <c r="AB5" s="39">
        <v>4</v>
      </c>
      <c r="AC5" s="39" t="s">
        <v>101</v>
      </c>
      <c r="AD5" s="47">
        <v>3</v>
      </c>
      <c r="AE5" s="46" t="s">
        <v>101</v>
      </c>
      <c r="AF5" s="39">
        <v>4</v>
      </c>
      <c r="AG5" s="39" t="s">
        <v>101</v>
      </c>
      <c r="AH5" s="39">
        <v>4</v>
      </c>
      <c r="AI5" s="39" t="s">
        <v>101</v>
      </c>
      <c r="AJ5" s="47">
        <v>4</v>
      </c>
      <c r="AK5" s="46" t="s">
        <v>101</v>
      </c>
      <c r="AL5" s="39">
        <v>5</v>
      </c>
      <c r="AM5" s="39" t="s">
        <v>101</v>
      </c>
      <c r="AN5" s="39">
        <v>5</v>
      </c>
      <c r="AO5" s="39" t="s">
        <v>101</v>
      </c>
      <c r="AP5" s="47">
        <v>4</v>
      </c>
    </row>
    <row r="6" spans="1:42" x14ac:dyDescent="0.3">
      <c r="A6" s="46" t="s">
        <v>102</v>
      </c>
      <c r="B6" s="39">
        <v>1</v>
      </c>
      <c r="C6" s="39" t="s">
        <v>102</v>
      </c>
      <c r="D6" s="39">
        <v>1</v>
      </c>
      <c r="E6" s="39" t="s">
        <v>102</v>
      </c>
      <c r="F6" s="47">
        <v>1</v>
      </c>
      <c r="G6" s="44" t="s">
        <v>102</v>
      </c>
      <c r="H6" s="39">
        <v>2</v>
      </c>
      <c r="I6" s="39" t="s">
        <v>102</v>
      </c>
      <c r="J6" s="39">
        <v>1</v>
      </c>
      <c r="K6" s="39" t="s">
        <v>102</v>
      </c>
      <c r="L6" s="39">
        <v>1</v>
      </c>
      <c r="M6" s="46" t="s">
        <v>102</v>
      </c>
      <c r="N6" s="39">
        <v>2</v>
      </c>
      <c r="O6" s="39" t="s">
        <v>102</v>
      </c>
      <c r="P6" s="39">
        <v>2</v>
      </c>
      <c r="Q6" s="39" t="s">
        <v>102</v>
      </c>
      <c r="R6" s="39">
        <v>1</v>
      </c>
      <c r="S6" s="46" t="s">
        <v>102</v>
      </c>
      <c r="T6" s="39">
        <v>2</v>
      </c>
      <c r="U6" s="39" t="s">
        <v>102</v>
      </c>
      <c r="V6" s="39">
        <v>2</v>
      </c>
      <c r="W6" s="39" t="s">
        <v>102</v>
      </c>
      <c r="X6" s="39">
        <v>1</v>
      </c>
      <c r="Y6" s="46" t="s">
        <v>102</v>
      </c>
      <c r="Z6" s="39">
        <v>3</v>
      </c>
      <c r="AA6" s="39" t="s">
        <v>102</v>
      </c>
      <c r="AB6" s="39">
        <v>2</v>
      </c>
      <c r="AC6" s="39" t="s">
        <v>102</v>
      </c>
      <c r="AD6" s="39">
        <v>2</v>
      </c>
      <c r="AE6" s="46" t="s">
        <v>102</v>
      </c>
      <c r="AF6" s="39">
        <v>3</v>
      </c>
      <c r="AG6" s="39" t="s">
        <v>102</v>
      </c>
      <c r="AH6" s="39">
        <v>2</v>
      </c>
      <c r="AI6" s="39" t="s">
        <v>102</v>
      </c>
      <c r="AJ6" s="39">
        <v>2</v>
      </c>
      <c r="AK6" s="46" t="s">
        <v>102</v>
      </c>
      <c r="AL6" s="39">
        <v>3</v>
      </c>
      <c r="AM6" s="39" t="s">
        <v>102</v>
      </c>
      <c r="AN6" s="39">
        <v>3</v>
      </c>
      <c r="AO6" s="39" t="s">
        <v>102</v>
      </c>
      <c r="AP6" s="39">
        <v>2</v>
      </c>
    </row>
    <row r="7" spans="1:42" x14ac:dyDescent="0.3">
      <c r="A7" s="46" t="s">
        <v>103</v>
      </c>
      <c r="B7" s="39">
        <v>0</v>
      </c>
      <c r="C7" s="39" t="s">
        <v>103</v>
      </c>
      <c r="D7" s="39">
        <v>0</v>
      </c>
      <c r="E7" s="39" t="s">
        <v>103</v>
      </c>
      <c r="F7" s="47">
        <v>1</v>
      </c>
      <c r="G7" s="44" t="s">
        <v>103</v>
      </c>
      <c r="H7" s="39">
        <v>2</v>
      </c>
      <c r="I7" s="39" t="s">
        <v>103</v>
      </c>
      <c r="J7" s="39">
        <v>2</v>
      </c>
      <c r="K7" s="39" t="s">
        <v>103</v>
      </c>
      <c r="L7" s="47">
        <v>2</v>
      </c>
      <c r="M7" s="46" t="s">
        <v>103</v>
      </c>
      <c r="N7" s="39">
        <v>5</v>
      </c>
      <c r="O7" s="39" t="s">
        <v>103</v>
      </c>
      <c r="P7" s="39">
        <v>5</v>
      </c>
      <c r="Q7" s="39" t="s">
        <v>103</v>
      </c>
      <c r="R7" s="47">
        <v>5</v>
      </c>
      <c r="S7" s="46" t="s">
        <v>103</v>
      </c>
      <c r="T7" s="39">
        <v>5</v>
      </c>
      <c r="U7" s="39" t="s">
        <v>103</v>
      </c>
      <c r="V7" s="39">
        <v>5</v>
      </c>
      <c r="W7" s="39" t="s">
        <v>103</v>
      </c>
      <c r="X7" s="47">
        <v>5</v>
      </c>
      <c r="Y7" s="46" t="s">
        <v>103</v>
      </c>
      <c r="Z7" s="39">
        <v>5</v>
      </c>
      <c r="AA7" s="39" t="s">
        <v>103</v>
      </c>
      <c r="AB7" s="39">
        <v>5</v>
      </c>
      <c r="AC7" s="39" t="s">
        <v>103</v>
      </c>
      <c r="AD7" s="47">
        <v>5</v>
      </c>
      <c r="AE7" s="46" t="s">
        <v>103</v>
      </c>
      <c r="AF7" s="39">
        <v>5</v>
      </c>
      <c r="AG7" s="39" t="s">
        <v>103</v>
      </c>
      <c r="AH7" s="39">
        <v>5</v>
      </c>
      <c r="AI7" s="39" t="s">
        <v>103</v>
      </c>
      <c r="AJ7" s="47">
        <v>5</v>
      </c>
      <c r="AK7" s="46" t="s">
        <v>103</v>
      </c>
      <c r="AL7" s="39">
        <v>5</v>
      </c>
      <c r="AM7" s="39" t="s">
        <v>103</v>
      </c>
      <c r="AN7" s="39">
        <v>5</v>
      </c>
      <c r="AO7" s="39" t="s">
        <v>103</v>
      </c>
      <c r="AP7" s="47">
        <v>5</v>
      </c>
    </row>
    <row r="8" spans="1:42" x14ac:dyDescent="0.3">
      <c r="A8" s="46" t="s">
        <v>15</v>
      </c>
      <c r="B8" s="39">
        <v>1</v>
      </c>
      <c r="C8" s="39" t="s">
        <v>15</v>
      </c>
      <c r="D8" s="39">
        <v>1</v>
      </c>
      <c r="E8" s="39" t="s">
        <v>15</v>
      </c>
      <c r="F8" s="47">
        <v>1</v>
      </c>
      <c r="G8" s="44" t="s">
        <v>15</v>
      </c>
      <c r="H8" s="39">
        <v>1</v>
      </c>
      <c r="I8" s="39" t="s">
        <v>15</v>
      </c>
      <c r="J8" s="39">
        <v>1</v>
      </c>
      <c r="K8" s="39" t="s">
        <v>15</v>
      </c>
      <c r="L8" s="47">
        <v>1</v>
      </c>
      <c r="M8" s="46" t="s">
        <v>15</v>
      </c>
      <c r="N8" s="39">
        <v>7</v>
      </c>
      <c r="O8" s="39" t="s">
        <v>15</v>
      </c>
      <c r="P8" s="39">
        <v>7</v>
      </c>
      <c r="Q8" s="39" t="s">
        <v>15</v>
      </c>
      <c r="R8" s="47">
        <v>7</v>
      </c>
      <c r="S8" s="46" t="s">
        <v>15</v>
      </c>
      <c r="T8" s="39">
        <v>8</v>
      </c>
      <c r="U8" s="39" t="s">
        <v>15</v>
      </c>
      <c r="V8" s="39">
        <v>8</v>
      </c>
      <c r="W8" s="39" t="s">
        <v>15</v>
      </c>
      <c r="X8" s="47">
        <v>8</v>
      </c>
      <c r="Y8" s="46" t="s">
        <v>15</v>
      </c>
      <c r="Z8" s="39">
        <v>9</v>
      </c>
      <c r="AA8" s="39" t="s">
        <v>15</v>
      </c>
      <c r="AB8" s="39">
        <v>9</v>
      </c>
      <c r="AC8" s="39" t="s">
        <v>15</v>
      </c>
      <c r="AD8" s="47">
        <v>8</v>
      </c>
      <c r="AE8" s="46" t="s">
        <v>15</v>
      </c>
      <c r="AF8" s="39">
        <v>10</v>
      </c>
      <c r="AG8" s="39" t="s">
        <v>15</v>
      </c>
      <c r="AH8" s="39">
        <v>9</v>
      </c>
      <c r="AI8" s="39" t="s">
        <v>15</v>
      </c>
      <c r="AJ8" s="47">
        <v>9</v>
      </c>
      <c r="AK8" s="46" t="s">
        <v>15</v>
      </c>
      <c r="AL8" s="39">
        <v>10</v>
      </c>
      <c r="AM8" s="39" t="s">
        <v>15</v>
      </c>
      <c r="AN8" s="39">
        <v>10</v>
      </c>
      <c r="AO8" s="39" t="s">
        <v>15</v>
      </c>
      <c r="AP8" s="47">
        <v>10</v>
      </c>
    </row>
    <row r="9" spans="1:42" x14ac:dyDescent="0.3">
      <c r="A9" s="46" t="s">
        <v>106</v>
      </c>
      <c r="B9" s="39">
        <v>2</v>
      </c>
      <c r="C9" s="39" t="s">
        <v>106</v>
      </c>
      <c r="D9" s="39">
        <v>1</v>
      </c>
      <c r="E9" s="39" t="s">
        <v>106</v>
      </c>
      <c r="F9" s="47">
        <v>1</v>
      </c>
      <c r="G9" s="44" t="s">
        <v>106</v>
      </c>
      <c r="H9" s="39">
        <v>2</v>
      </c>
      <c r="I9" s="39" t="s">
        <v>106</v>
      </c>
      <c r="J9" s="39">
        <v>2</v>
      </c>
      <c r="K9" s="39" t="s">
        <v>106</v>
      </c>
      <c r="L9" s="47">
        <v>1</v>
      </c>
      <c r="M9" s="46" t="s">
        <v>106</v>
      </c>
      <c r="N9" s="39">
        <v>2</v>
      </c>
      <c r="O9" s="39" t="s">
        <v>106</v>
      </c>
      <c r="P9" s="39">
        <v>2</v>
      </c>
      <c r="Q9" s="39" t="s">
        <v>106</v>
      </c>
      <c r="R9" s="47">
        <v>2</v>
      </c>
      <c r="S9" s="46" t="s">
        <v>106</v>
      </c>
      <c r="T9" s="39">
        <v>3</v>
      </c>
      <c r="U9" s="39" t="s">
        <v>106</v>
      </c>
      <c r="V9" s="39">
        <v>2</v>
      </c>
      <c r="W9" s="39" t="s">
        <v>106</v>
      </c>
      <c r="X9" s="47">
        <v>2</v>
      </c>
      <c r="Y9" s="46" t="s">
        <v>106</v>
      </c>
      <c r="Z9" s="39">
        <v>3</v>
      </c>
      <c r="AA9" s="39" t="s">
        <v>106</v>
      </c>
      <c r="AB9" s="39">
        <v>2</v>
      </c>
      <c r="AC9" s="39" t="s">
        <v>106</v>
      </c>
      <c r="AD9" s="47">
        <v>2</v>
      </c>
      <c r="AE9" s="46" t="s">
        <v>106</v>
      </c>
      <c r="AF9" s="39">
        <v>3</v>
      </c>
      <c r="AG9" s="39" t="s">
        <v>106</v>
      </c>
      <c r="AH9" s="39">
        <v>3</v>
      </c>
      <c r="AI9" s="39" t="s">
        <v>106</v>
      </c>
      <c r="AJ9" s="47">
        <v>2</v>
      </c>
      <c r="AK9" s="46" t="s">
        <v>106</v>
      </c>
      <c r="AL9" s="39">
        <v>3</v>
      </c>
      <c r="AM9" s="39" t="s">
        <v>106</v>
      </c>
      <c r="AN9" s="39">
        <v>3</v>
      </c>
      <c r="AO9" s="39" t="s">
        <v>106</v>
      </c>
      <c r="AP9" s="47">
        <v>3</v>
      </c>
    </row>
    <row r="10" spans="1:42" x14ac:dyDescent="0.3">
      <c r="A10" s="46" t="s">
        <v>107</v>
      </c>
      <c r="B10" s="39">
        <v>10</v>
      </c>
      <c r="C10" s="39" t="s">
        <v>107</v>
      </c>
      <c r="D10" s="39">
        <v>10</v>
      </c>
      <c r="E10" s="39" t="s">
        <v>107</v>
      </c>
      <c r="F10" s="47">
        <v>10</v>
      </c>
      <c r="G10" s="44" t="s">
        <v>107</v>
      </c>
      <c r="H10" s="39">
        <v>15</v>
      </c>
      <c r="I10" s="39" t="s">
        <v>107</v>
      </c>
      <c r="J10" s="39">
        <v>15</v>
      </c>
      <c r="K10" s="39" t="s">
        <v>107</v>
      </c>
      <c r="L10" s="47">
        <v>15</v>
      </c>
      <c r="M10" s="46" t="s">
        <v>107</v>
      </c>
      <c r="N10" s="39">
        <v>20</v>
      </c>
      <c r="O10" s="39" t="s">
        <v>107</v>
      </c>
      <c r="P10" s="39">
        <v>20</v>
      </c>
      <c r="Q10" s="39" t="s">
        <v>107</v>
      </c>
      <c r="R10" s="47">
        <v>20</v>
      </c>
      <c r="S10" s="46" t="s">
        <v>107</v>
      </c>
      <c r="T10" s="39">
        <v>22</v>
      </c>
      <c r="U10" s="39" t="s">
        <v>107</v>
      </c>
      <c r="V10" s="39">
        <v>22</v>
      </c>
      <c r="W10" s="39" t="s">
        <v>107</v>
      </c>
      <c r="X10" s="47">
        <v>22</v>
      </c>
      <c r="Y10" s="46" t="s">
        <v>107</v>
      </c>
      <c r="Z10" s="39">
        <v>26</v>
      </c>
      <c r="AA10" s="39" t="s">
        <v>107</v>
      </c>
      <c r="AB10" s="39">
        <v>26</v>
      </c>
      <c r="AC10" s="39" t="s">
        <v>107</v>
      </c>
      <c r="AD10" s="47">
        <v>26</v>
      </c>
      <c r="AE10" s="46" t="s">
        <v>107</v>
      </c>
      <c r="AF10" s="39">
        <v>28</v>
      </c>
      <c r="AG10" s="39" t="s">
        <v>107</v>
      </c>
      <c r="AH10" s="39">
        <v>28</v>
      </c>
      <c r="AI10" s="39" t="s">
        <v>107</v>
      </c>
      <c r="AJ10" s="47">
        <v>28</v>
      </c>
      <c r="AK10" s="46" t="s">
        <v>107</v>
      </c>
      <c r="AL10" s="39">
        <v>30</v>
      </c>
      <c r="AM10" s="39" t="s">
        <v>107</v>
      </c>
      <c r="AN10" s="39">
        <v>30</v>
      </c>
      <c r="AO10" s="39" t="s">
        <v>107</v>
      </c>
      <c r="AP10" s="47">
        <v>30</v>
      </c>
    </row>
    <row r="11" spans="1:42" x14ac:dyDescent="0.3">
      <c r="A11" s="46" t="s">
        <v>108</v>
      </c>
      <c r="B11" s="39">
        <v>2</v>
      </c>
      <c r="C11" s="39" t="s">
        <v>108</v>
      </c>
      <c r="D11" s="39">
        <v>2</v>
      </c>
      <c r="E11" s="39" t="s">
        <v>108</v>
      </c>
      <c r="F11" s="47">
        <v>2</v>
      </c>
      <c r="G11" s="44" t="s">
        <v>108</v>
      </c>
      <c r="H11" s="39">
        <v>4</v>
      </c>
      <c r="I11" s="39" t="s">
        <v>108</v>
      </c>
      <c r="J11" s="39">
        <v>4</v>
      </c>
      <c r="K11" s="39" t="s">
        <v>108</v>
      </c>
      <c r="L11" s="47">
        <v>4</v>
      </c>
      <c r="M11" s="46" t="s">
        <v>108</v>
      </c>
      <c r="N11" s="39">
        <v>6</v>
      </c>
      <c r="O11" s="39" t="s">
        <v>108</v>
      </c>
      <c r="P11" s="39">
        <v>6</v>
      </c>
      <c r="Q11" s="39" t="s">
        <v>108</v>
      </c>
      <c r="R11" s="47">
        <v>6</v>
      </c>
      <c r="S11" s="46" t="s">
        <v>108</v>
      </c>
      <c r="T11" s="39">
        <v>6</v>
      </c>
      <c r="U11" s="39" t="s">
        <v>108</v>
      </c>
      <c r="V11" s="39">
        <v>6</v>
      </c>
      <c r="W11" s="39" t="s">
        <v>108</v>
      </c>
      <c r="X11" s="47">
        <v>6</v>
      </c>
      <c r="Y11" s="46" t="s">
        <v>108</v>
      </c>
      <c r="Z11" s="39">
        <v>7</v>
      </c>
      <c r="AA11" s="39" t="s">
        <v>108</v>
      </c>
      <c r="AB11" s="39">
        <v>7</v>
      </c>
      <c r="AC11" s="39" t="s">
        <v>108</v>
      </c>
      <c r="AD11" s="47">
        <v>7</v>
      </c>
      <c r="AE11" s="46" t="s">
        <v>108</v>
      </c>
      <c r="AF11" s="39">
        <v>8</v>
      </c>
      <c r="AG11" s="39" t="s">
        <v>108</v>
      </c>
      <c r="AH11" s="39">
        <v>8</v>
      </c>
      <c r="AI11" s="39" t="s">
        <v>108</v>
      </c>
      <c r="AJ11" s="47">
        <v>8</v>
      </c>
      <c r="AK11" s="46" t="s">
        <v>108</v>
      </c>
      <c r="AL11" s="39">
        <v>9</v>
      </c>
      <c r="AM11" s="39" t="s">
        <v>108</v>
      </c>
      <c r="AN11" s="39">
        <v>9</v>
      </c>
      <c r="AO11" s="39" t="s">
        <v>108</v>
      </c>
      <c r="AP11" s="47">
        <v>9</v>
      </c>
    </row>
    <row r="12" spans="1:42" x14ac:dyDescent="0.3">
      <c r="A12" s="48" t="s">
        <v>1</v>
      </c>
      <c r="B12" s="41">
        <f>IF(B3=1,VLOOKUP(B4,英雄升级数值!$H$2:$S$42,2,FALSE),IF(B3=2,VLOOKUP(B4,英雄升级数值!$H$2:$S$42,6,FALSE),VLOOKUP(B4,英雄升级数值!$H$2:$S$42,10,FALSE)))*(1+VLOOKUP(B5,英雄升星数值!$A$3:$G$8,7))+IF(B6=1,英雄装备数值!$D$3*B7*英雄装备数值!$D$42/战力关系!$B$2,IF(B6=2,英雄装备数值!$D$4*B7*英雄装备数值!$D$42/战力关系!$B$2,英雄装备数值!$D$5*B7*英雄装备数值!$D$42/战力关系!$B$2))+VLOOKUP(B8,装备强化数值!$A$2:$B$22,2,FALSE)*B7/3/战力关系!$B$2+IF(B9=1,VLOOKUP(B10,'宠物升级数值-标准单只'!$A$3:$AD$42,8,FALSE),IF(B9=2,VLOOKUP(B10,'宠物升级数值-标准单只'!$A$3:$AD$42,18,FALSE),VLOOKUP(B10,'宠物升级数值-标准单只'!$A$3:$AD$42,28,FALSE)))*(1+VLOOKUP(B11,宠物升阶数值!$A$2:$B$31,2,FALSE))</f>
        <v>92.455000000000013</v>
      </c>
      <c r="C12" s="41" t="s">
        <v>1</v>
      </c>
      <c r="D12" s="41">
        <f>IF(D3=1,VLOOKUP(D4,英雄升级数值!$H$2:$S$42,2,FALSE),IF(D3=2,VLOOKUP(D4,英雄升级数值!$H$2:$S$42,6,FALSE),VLOOKUP(D4,英雄升级数值!$H$2:$S$42,10,FALSE)))*(1+VLOOKUP(D5,英雄升星数值!$A$3:$G$8,7))+IF(D6=1,英雄装备数值!$D$3*D7*英雄装备数值!$D$42/战力关系!$B$2,IF(D6=2,英雄装备数值!$D$4*D7*英雄装备数值!$D$42/战力关系!$B$2,英雄装备数值!$D$5*D7*英雄装备数值!$D$42/战力关系!$B$2))+VLOOKUP(D8,装备强化数值!$A$2:$B$22,2,FALSE)*D7/3/战力关系!$B$2+IF(D9=1,VLOOKUP(D10,'宠物升级数值-标准单只'!$A$3:$AD$42,8,FALSE),IF(D9=2,VLOOKUP(D10,'宠物升级数值-标准单只'!$A$3:$AD$42,18,FALSE),VLOOKUP(D10,'宠物升级数值-标准单只'!$A$3:$AD$42,28,FALSE)))*(1+VLOOKUP(D11,宠物升阶数值!$A$2:$B$31,2,FALSE))</f>
        <v>68.14500000000001</v>
      </c>
      <c r="E12" s="41" t="s">
        <v>1</v>
      </c>
      <c r="F12" s="49">
        <f>IF(F3=1,VLOOKUP(F4,英雄升级数值!$H$2:$S$42,2,FALSE),IF(F3=2,VLOOKUP(F4,英雄升级数值!$H$2:$S$42,6,FALSE),VLOOKUP(F4,英雄升级数值!$H$2:$S$42,10,FALSE)))*(1+VLOOKUP(F5,英雄升星数值!$A$3:$G$8,7))+IF(F6=1,英雄装备数值!$D$3*F7*英雄装备数值!$D$42/战力关系!$B$2,IF(F6=2,英雄装备数值!$D$4*F7*英雄装备数值!$D$42/战力关系!$B$2,英雄装备数值!$D$5*F7*英雄装备数值!$D$42/战力关系!$B$2))+VLOOKUP(F8,装备强化数值!$A$2:$B$22,2,FALSE)*F7/3/战力关系!$B$2+IF(F9=1,VLOOKUP(F10,'宠物升级数值-标准单只'!$A$3:$AD$42,8,FALSE),IF(F9=2,VLOOKUP(F10,'宠物升级数值-标准单只'!$A$3:$AD$42,18,FALSE),VLOOKUP(F10,'宠物升级数值-标准单只'!$A$3:$AD$42,28,FALSE)))*(1+VLOOKUP(F11,宠物升阶数值!$A$2:$B$31,2,FALSE))</f>
        <v>79.842500000000001</v>
      </c>
      <c r="G12" s="45" t="s">
        <v>1</v>
      </c>
      <c r="H12" s="41">
        <f>IF(H3=1,VLOOKUP(H4,英雄升级数值!$H$2:$S$42,2,FALSE),IF(H3=2,VLOOKUP(H4,英雄升级数值!$H$2:$S$42,6,FALSE),VLOOKUP(H4,英雄升级数值!$H$2:$S$42,10,FALSE)))*(1+VLOOKUP(H5,英雄升星数值!$A$3:$G$8,7))+IF(H6=1,英雄装备数值!$D$3*H7*英雄装备数值!$D$42/战力关系!$B$2,IF(H6=2,英雄装备数值!$D$4*H7*英雄装备数值!$D$42/战力关系!$B$2,英雄装备数值!$D$5*H7*英雄装备数值!$D$42/战力关系!$B$2))+VLOOKUP(H8,装备强化数值!$A$2:$B$22,2,FALSE)*H7/3/战力关系!$B$2+IF(H9=1,VLOOKUP(H10,'宠物升级数值-标准单只'!$A$3:$AD$42,8,FALSE),IF(H9=2,VLOOKUP(H10,'宠物升级数值-标准单只'!$A$3:$AD$42,18,FALSE),VLOOKUP(H10,'宠物升级数值-标准单只'!$A$3:$AD$42,28,FALSE)))*(1+VLOOKUP(H11,宠物升阶数值!$A$2:$B$31,2,FALSE))</f>
        <v>151.11500000000001</v>
      </c>
      <c r="I12" s="41" t="s">
        <v>1</v>
      </c>
      <c r="J12" s="41">
        <f>IF(J3=1,VLOOKUP(J4,英雄升级数值!$H$2:$S$42,2,FALSE),IF(J3=2,VLOOKUP(J4,英雄升级数值!$H$2:$S$42,6,FALSE),VLOOKUP(J4,英雄升级数值!$H$2:$S$42,10,FALSE)))*(1+VLOOKUP(J5,英雄升星数值!$A$3:$G$8,7))+IF(J6=1,英雄装备数值!$D$3*J7*英雄装备数值!$D$42/战力关系!$B$2,IF(J6=2,英雄装备数值!$D$4*J7*英雄装备数值!$D$42/战力关系!$B$2,英雄装备数值!$D$5*J7*英雄装备数值!$D$42/战力关系!$B$2))+VLOOKUP(J8,装备强化数值!$A$2:$B$22,2,FALSE)*J7/3/战力关系!$B$2+IF(J9=1,VLOOKUP(J10,'宠物升级数值-标准单只'!$A$3:$AD$42,8,FALSE),IF(J9=2,VLOOKUP(J10,'宠物升级数值-标准单只'!$A$3:$AD$42,18,FALSE),VLOOKUP(J10,'宠物升级数值-标准单只'!$A$3:$AD$42,28,FALSE)))*(1+VLOOKUP(J11,宠物升阶数值!$A$2:$B$31,2,FALSE))</f>
        <v>143.91499999999999</v>
      </c>
      <c r="K12" s="41" t="s">
        <v>1</v>
      </c>
      <c r="L12" s="49">
        <f>IF(L3=1,VLOOKUP(L4,英雄升级数值!$H$2:$S$42,2,FALSE),IF(L3=2,VLOOKUP(L4,英雄升级数值!$H$2:$S$42,6,FALSE),VLOOKUP(L4,英雄升级数值!$H$2:$S$42,10,FALSE)))*(1+VLOOKUP(L5,英雄升星数值!$A$3:$G$8,7))+IF(L6=1,英雄装备数值!$D$3*L7*英雄装备数值!$D$42/战力关系!$B$2,IF(L6=2,英雄装备数值!$D$4*L7*英雄装备数值!$D$42/战力关系!$B$2,英雄装备数值!$D$5*L7*英雄装备数值!$D$42/战力关系!$B$2))+VLOOKUP(L8,装备强化数值!$A$2:$B$22,2,FALSE)*L7/3/战力关系!$B$2+IF(L9=1,VLOOKUP(L10,'宠物升级数值-标准单只'!$A$3:$AD$42,8,FALSE),IF(L9=2,VLOOKUP(L10,'宠物升级数值-标准单只'!$A$3:$AD$42,18,FALSE),VLOOKUP(L10,'宠物升级数值-标准单只'!$A$3:$AD$42,28,FALSE)))*(1+VLOOKUP(L11,宠物升阶数值!$A$2:$B$31,2,FALSE))</f>
        <v>111.1665</v>
      </c>
      <c r="M12" s="48" t="s">
        <v>1</v>
      </c>
      <c r="N12" s="41">
        <f>IF(N3=1,VLOOKUP(N4,英雄升级数值!$H$2:$S$42,2,FALSE),IF(N3=2,VLOOKUP(N4,英雄升级数值!$H$2:$S$42,6,FALSE),VLOOKUP(N4,英雄升级数值!$H$2:$S$42,10,FALSE)))*(1+VLOOKUP(N5,英雄升星数值!$A$3:$G$8,7))+IF(N6=1,英雄装备数值!$D$3*N7*英雄装备数值!$D$42/战力关系!$B$2,IF(N6=2,英雄装备数值!$D$4*N7*英雄装备数值!$D$42/战力关系!$B$2,英雄装备数值!$D$5*N7*英雄装备数值!$D$42/战力关系!$B$2))+VLOOKUP(N8,装备强化数值!$A$2:$B$22,2,FALSE)*N7/3/战力关系!$B$2+IF(N9=1,VLOOKUP(N10,'宠物升级数值-标准单只'!$A$3:$AD$42,8,FALSE),IF(N9=2,VLOOKUP(N10,'宠物升级数值-标准单只'!$A$3:$AD$42,18,FALSE),VLOOKUP(N10,'宠物升级数值-标准单只'!$A$3:$AD$42,28,FALSE)))*(1+VLOOKUP(N11,宠物升阶数值!$A$2:$B$31,2,FALSE))</f>
        <v>285.34049999999996</v>
      </c>
      <c r="O12" s="41" t="s">
        <v>1</v>
      </c>
      <c r="P12" s="41">
        <f>IF(P3=1,VLOOKUP(P4,英雄升级数值!$H$2:$S$42,2,FALSE),IF(P3=2,VLOOKUP(P4,英雄升级数值!$H$2:$S$42,6,FALSE),VLOOKUP(P4,英雄升级数值!$H$2:$S$42,10,FALSE)))*(1+VLOOKUP(P5,英雄升星数值!$A$3:$G$8,7))+IF(P6=1,英雄装备数值!$D$3*P7*英雄装备数值!$D$42/战力关系!$B$2,IF(P6=2,英雄装备数值!$D$4*P7*英雄装备数值!$D$42/战力关系!$B$2,英雄装备数值!$D$5*P7*英雄装备数值!$D$42/战力关系!$B$2))+VLOOKUP(P8,装备强化数值!$A$2:$B$22,2,FALSE)*P7/3/战力关系!$B$2+IF(P9=1,VLOOKUP(P10,'宠物升级数值-标准单只'!$A$3:$AD$42,8,FALSE),IF(P9=2,VLOOKUP(P10,'宠物升级数值-标准单只'!$A$3:$AD$42,18,FALSE),VLOOKUP(P10,'宠物升级数值-标准单只'!$A$3:$AD$42,28,FALSE)))*(1+VLOOKUP(P11,宠物升阶数值!$A$2:$B$31,2,FALSE))</f>
        <v>285.34049999999996</v>
      </c>
      <c r="Q12" s="41" t="s">
        <v>1</v>
      </c>
      <c r="R12" s="49">
        <f>IF(R3=1,VLOOKUP(R4,英雄升级数值!$H$2:$S$42,2,FALSE),IF(R3=2,VLOOKUP(R4,英雄升级数值!$H$2:$S$42,6,FALSE),VLOOKUP(R4,英雄升级数值!$H$2:$S$42,10,FALSE)))*(1+VLOOKUP(R5,英雄升星数值!$A$3:$G$8,7))+IF(R6=1,英雄装备数值!$D$3*R7*英雄装备数值!$D$42/战力关系!$B$2,IF(R6=2,英雄装备数值!$D$4*R7*英雄装备数值!$D$42/战力关系!$B$2,英雄装备数值!$D$5*R7*英雄装备数值!$D$42/战力关系!$B$2))+VLOOKUP(R8,装备强化数值!$A$2:$B$22,2,FALSE)*R7/3/战力关系!$B$2+IF(R9=1,VLOOKUP(R10,'宠物升级数值-标准单只'!$A$3:$AD$42,8,FALSE),IF(R9=2,VLOOKUP(R10,'宠物升级数值-标准单只'!$A$3:$AD$42,18,FALSE),VLOOKUP(R10,'宠物升级数值-标准单只'!$A$3:$AD$42,28,FALSE)))*(1+VLOOKUP(R11,宠物升阶数值!$A$2:$B$31,2,FALSE))</f>
        <v>267.34049999999996</v>
      </c>
      <c r="S12" s="48" t="s">
        <v>1</v>
      </c>
      <c r="T12" s="41">
        <f>IF(T3=1,VLOOKUP(T4,英雄升级数值!$H$2:$S$42,2,FALSE),IF(T3=2,VLOOKUP(T4,英雄升级数值!$H$2:$S$42,6,FALSE),VLOOKUP(T4,英雄升级数值!$H$2:$S$42,10,FALSE)))*(1+VLOOKUP(T5,英雄升星数值!$A$3:$G$8,7))+IF(T6=1,英雄装备数值!$D$3*T7*英雄装备数值!$D$42/战力关系!$B$2,IF(T6=2,英雄装备数值!$D$4*T7*英雄装备数值!$D$42/战力关系!$B$2,英雄装备数值!$D$5*T7*英雄装备数值!$D$42/战力关系!$B$2))+VLOOKUP(T8,装备强化数值!$A$2:$B$22,2,FALSE)*T7/3/战力关系!$B$2+IF(T9=1,VLOOKUP(T10,'宠物升级数值-标准单只'!$A$3:$AD$42,8,FALSE),IF(T9=2,VLOOKUP(T10,'宠物升级数值-标准单只'!$A$3:$AD$42,18,FALSE),VLOOKUP(T10,'宠物升级数值-标准单只'!$A$3:$AD$42,28,FALSE)))*(1+VLOOKUP(T11,宠物升阶数值!$A$2:$B$31,2,FALSE))</f>
        <v>331.72999999999996</v>
      </c>
      <c r="U12" s="41" t="s">
        <v>1</v>
      </c>
      <c r="V12" s="41">
        <f>IF(V3=1,VLOOKUP(V4,英雄升级数值!$H$2:$S$42,2,FALSE),IF(V3=2,VLOOKUP(V4,英雄升级数值!$H$2:$S$42,6,FALSE),VLOOKUP(V4,英雄升级数值!$H$2:$S$42,10,FALSE)))*(1+VLOOKUP(V5,英雄升星数值!$A$3:$G$8,7))+IF(V6=1,英雄装备数值!$D$3*V7*英雄装备数值!$D$42/战力关系!$B$2,IF(V6=2,英雄装备数值!$D$4*V7*英雄装备数值!$D$42/战力关系!$B$2,英雄装备数值!$D$5*V7*英雄装备数值!$D$42/战力关系!$B$2))+VLOOKUP(V8,装备强化数值!$A$2:$B$22,2,FALSE)*V7/3/战力关系!$B$2+IF(V9=1,VLOOKUP(V10,'宠物升级数值-标准单只'!$A$3:$AD$42,8,FALSE),IF(V9=2,VLOOKUP(V10,'宠物升级数值-标准单只'!$A$3:$AD$42,18,FALSE),VLOOKUP(V10,'宠物升级数值-标准单只'!$A$3:$AD$42,28,FALSE)))*(1+VLOOKUP(V11,宠物升阶数值!$A$2:$B$31,2,FALSE))</f>
        <v>311.13799999999998</v>
      </c>
      <c r="W12" s="41" t="s">
        <v>1</v>
      </c>
      <c r="X12" s="49">
        <f>IF(X3=1,VLOOKUP(X4,英雄升级数值!$H$2:$S$42,2,FALSE),IF(X3=2,VLOOKUP(X4,英雄升级数值!$H$2:$S$42,6,FALSE),VLOOKUP(X4,英雄升级数值!$H$2:$S$42,10,FALSE)))*(1+VLOOKUP(X5,英雄升星数值!$A$3:$G$8,7))+IF(X6=1,英雄装备数值!$D$3*X7*英雄装备数值!$D$42/战力关系!$B$2,IF(X6=2,英雄装备数值!$D$4*X7*英雄装备数值!$D$42/战力关系!$B$2,英雄装备数值!$D$5*X7*英雄装备数值!$D$42/战力关系!$B$2))+VLOOKUP(X8,装备强化数值!$A$2:$B$22,2,FALSE)*X7/3/战力关系!$B$2+IF(X9=1,VLOOKUP(X10,'宠物升级数值-标准单只'!$A$3:$AD$42,8,FALSE),IF(X9=2,VLOOKUP(X10,'宠物升级数值-标准单只'!$A$3:$AD$42,18,FALSE),VLOOKUP(X10,'宠物升级数值-标准单只'!$A$3:$AD$42,28,FALSE)))*(1+VLOOKUP(X11,宠物升阶数值!$A$2:$B$31,2,FALSE))</f>
        <v>293.13799999999998</v>
      </c>
      <c r="Y12" s="48" t="s">
        <v>1</v>
      </c>
      <c r="Z12" s="41">
        <f>IF(Z3=1,VLOOKUP(Z4,英雄升级数值!$H$2:$S$42,2,FALSE),IF(Z3=2,VLOOKUP(Z4,英雄升级数值!$H$2:$S$42,6,FALSE),VLOOKUP(Z4,英雄升级数值!$H$2:$S$42,10,FALSE)))*(1+VLOOKUP(Z5,英雄升星数值!$A$3:$G$8,7))+IF(Z6=1,英雄装备数值!$D$3*Z7*英雄装备数值!$D$42/战力关系!$B$2,IF(Z6=2,英雄装备数值!$D$4*Z7*英雄装备数值!$D$42/战力关系!$B$2,英雄装备数值!$D$5*Z7*英雄装备数值!$D$42/战力关系!$B$2))+VLOOKUP(Z8,装备强化数值!$A$2:$B$22,2,FALSE)*Z7/3/战力关系!$B$2+IF(Z9=1,VLOOKUP(Z10,'宠物升级数值-标准单只'!$A$3:$AD$42,8,FALSE),IF(Z9=2,VLOOKUP(Z10,'宠物升级数值-标准单只'!$A$3:$AD$42,18,FALSE),VLOOKUP(Z10,'宠物升级数值-标准单只'!$A$3:$AD$42,28,FALSE)))*(1+VLOOKUP(Z11,宠物升阶数值!$A$2:$B$31,2,FALSE))</f>
        <v>384.8175</v>
      </c>
      <c r="AA12" s="41" t="s">
        <v>1</v>
      </c>
      <c r="AB12" s="41">
        <f>IF(AB3=1,VLOOKUP(AB4,英雄升级数值!$H$2:$S$42,2,FALSE),IF(AB3=2,VLOOKUP(AB4,英雄升级数值!$H$2:$S$42,6,FALSE),VLOOKUP(AB4,英雄升级数值!$H$2:$S$42,10,FALSE)))*(1+VLOOKUP(AB5,英雄升星数值!$A$3:$G$8,7))+IF(AB6=1,英雄装备数值!$D$3*AB7*英雄装备数值!$D$42/战力关系!$B$2,IF(AB6=2,英雄装备数值!$D$4*AB7*英雄装备数值!$D$42/战力关系!$B$2,英雄装备数值!$D$5*AB7*英雄装备数值!$D$42/战力关系!$B$2))+VLOOKUP(AB8,装备强化数值!$A$2:$B$22,2,FALSE)*AB7/3/战力关系!$B$2+IF(AB9=1,VLOOKUP(AB10,'宠物升级数值-标准单只'!$A$3:$AD$42,8,FALSE),IF(AB9=2,VLOOKUP(AB10,'宠物升级数值-标准单只'!$A$3:$AD$42,18,FALSE),VLOOKUP(AB10,'宠物升级数值-标准单只'!$A$3:$AD$42,28,FALSE)))*(1+VLOOKUP(AB11,宠物升阶数值!$A$2:$B$31,2,FALSE))</f>
        <v>348.95699999999999</v>
      </c>
      <c r="AC12" s="41" t="s">
        <v>1</v>
      </c>
      <c r="AD12" s="49">
        <f>IF(AD3=1,VLOOKUP(AD4,英雄升级数值!$H$2:$S$42,2,FALSE),IF(AD3=2,VLOOKUP(AD4,英雄升级数值!$H$2:$S$42,6,FALSE),VLOOKUP(AD4,英雄升级数值!$H$2:$S$42,10,FALSE)))*(1+VLOOKUP(AD5,英雄升星数值!$A$3:$G$8,7))+IF(AD6=1,英雄装备数值!$D$3*AD7*英雄装备数值!$D$42/战力关系!$B$2,IF(AD6=2,英雄装备数值!$D$4*AD7*英雄装备数值!$D$42/战力关系!$B$2,英雄装备数值!$D$5*AD7*英雄装备数值!$D$42/战力关系!$B$2))+VLOOKUP(AD8,装备强化数值!$A$2:$B$22,2,FALSE)*AD7/3/战力关系!$B$2+IF(AD9=1,VLOOKUP(AD10,'宠物升级数值-标准单只'!$A$3:$AD$42,8,FALSE),IF(AD9=2,VLOOKUP(AD10,'宠物升级数值-标准单只'!$A$3:$AD$42,18,FALSE),VLOOKUP(AD10,'宠物升级数值-标准单只'!$A$3:$AD$42,28,FALSE)))*(1+VLOOKUP(AD11,宠物升阶数值!$A$2:$B$31,2,FALSE))</f>
        <v>332.56700000000001</v>
      </c>
      <c r="AE12" s="48" t="s">
        <v>1</v>
      </c>
      <c r="AF12" s="41">
        <f>IF(AF3=1,VLOOKUP(AF4,英雄升级数值!$H$2:$S$42,2,FALSE),IF(AF3=2,VLOOKUP(AF4,英雄升级数值!$H$2:$S$42,6,FALSE),VLOOKUP(AF4,英雄升级数值!$H$2:$S$42,10,FALSE)))*(1+VLOOKUP(AF5,英雄升星数值!$A$3:$G$8,7))+IF(AF6=1,英雄装备数值!$D$3*AF7*英雄装备数值!$D$42/战力关系!$B$2,IF(AF6=2,英雄装备数值!$D$4*AF7*英雄装备数值!$D$42/战力关系!$B$2,英雄装备数值!$D$5*AF7*英雄装备数值!$D$42/战力关系!$B$2))+VLOOKUP(AF8,装备强化数值!$A$2:$B$22,2,FALSE)*AF7/3/战力关系!$B$2+IF(AF9=1,VLOOKUP(AF10,'宠物升级数值-标准单只'!$A$3:$AD$42,8,FALSE),IF(AF9=2,VLOOKUP(AF10,'宠物升级数值-标准单只'!$A$3:$AD$42,18,FALSE),VLOOKUP(AF10,'宠物升级数值-标准单只'!$A$3:$AD$42,28,FALSE)))*(1+VLOOKUP(AF11,宠物升阶数值!$A$2:$B$31,2,FALSE))</f>
        <v>414.76</v>
      </c>
      <c r="AG12" s="41" t="s">
        <v>1</v>
      </c>
      <c r="AH12" s="41">
        <f>IF(AH3=1,VLOOKUP(AH4,英雄升级数值!$H$2:$S$42,2,FALSE),IF(AH3=2,VLOOKUP(AH4,英雄升级数值!$H$2:$S$42,6,FALSE),VLOOKUP(AH4,英雄升级数值!$H$2:$S$42,10,FALSE)))*(1+VLOOKUP(AH5,英雄升星数值!$A$3:$G$8,7))+IF(AH6=1,英雄装备数值!$D$3*AH7*英雄装备数值!$D$42/战力关系!$B$2,IF(AH6=2,英雄装备数值!$D$4*AH7*英雄装备数值!$D$42/战力关系!$B$2,英雄装备数值!$D$5*AH7*英雄装备数值!$D$42/战力关系!$B$2))+VLOOKUP(AH8,装备强化数值!$A$2:$B$22,2,FALSE)*AH7/3/战力关系!$B$2+IF(AH9=1,VLOOKUP(AH10,'宠物升级数值-标准单只'!$A$3:$AD$42,8,FALSE),IF(AH9=2,VLOOKUP(AH10,'宠物升级数值-标准单只'!$A$3:$AD$42,18,FALSE),VLOOKUP(AH10,'宠物升级数值-标准单只'!$A$3:$AD$42,28,FALSE)))*(1+VLOOKUP(AH11,宠物升阶数值!$A$2:$B$31,2,FALSE))</f>
        <v>386.76</v>
      </c>
      <c r="AI12" s="41" t="s">
        <v>1</v>
      </c>
      <c r="AJ12" s="49">
        <f>IF(AJ3=1,VLOOKUP(AJ4,英雄升级数值!$H$2:$S$42,2,FALSE),IF(AJ3=2,VLOOKUP(AJ4,英雄升级数值!$H$2:$S$42,6,FALSE),VLOOKUP(AJ4,英雄升级数值!$H$2:$S$42,10,FALSE)))*(1+VLOOKUP(AJ5,英雄升星数值!$A$3:$G$8,7))+IF(AJ6=1,英雄装备数值!$D$3*AJ7*英雄装备数值!$D$42/战力关系!$B$2,IF(AJ6=2,英雄装备数值!$D$4*AJ7*英雄装备数值!$D$42/战力关系!$B$2,英雄装备数值!$D$5*AJ7*英雄装备数值!$D$42/战力关系!$B$2))+VLOOKUP(AJ8,装备强化数值!$A$2:$B$22,2,FALSE)*AJ7/3/战力关系!$B$2+IF(AJ9=1,VLOOKUP(AJ10,'宠物升级数值-标准单只'!$A$3:$AD$42,8,FALSE),IF(AJ9=2,VLOOKUP(AJ10,'宠物升级数值-标准单只'!$A$3:$AD$42,18,FALSE),VLOOKUP(AJ10,'宠物升级数值-标准单只'!$A$3:$AD$42,28,FALSE)))*(1+VLOOKUP(AJ11,宠物升阶数值!$A$2:$B$31,2,FALSE))</f>
        <v>367.10399999999998</v>
      </c>
      <c r="AK12" s="48" t="s">
        <v>1</v>
      </c>
      <c r="AL12" s="41">
        <f>IF(AL3=1,VLOOKUP(AL4,英雄升级数值!$H$2:$S$42,2,FALSE),IF(AL3=2,VLOOKUP(AL4,英雄升级数值!$H$2:$S$42,6,FALSE),VLOOKUP(AL4,英雄升级数值!$H$2:$S$42,10,FALSE)))*(1+VLOOKUP(AL5,英雄升星数值!$A$3:$G$8,7))+IF(AL6=1,英雄装备数值!$D$3*AL7*英雄装备数值!$D$42/战力关系!$B$2,IF(AL6=2,英雄装备数值!$D$4*AL7*英雄装备数值!$D$42/战力关系!$B$2,英雄装备数值!$D$5*AL7*英雄装备数值!$D$42/战力关系!$B$2))+VLOOKUP(AL8,装备强化数值!$A$2:$B$22,2,FALSE)*AL7/3/战力关系!$B$2+IF(AL9=1,VLOOKUP(AL10,'宠物升级数值-标准单只'!$A$3:$AD$42,8,FALSE),IF(AL9=2,VLOOKUP(AL10,'宠物升级数值-标准单只'!$A$3:$AD$42,18,FALSE),VLOOKUP(AL10,'宠物升级数值-标准单只'!$A$3:$AD$42,28,FALSE)))*(1+VLOOKUP(AL11,宠物升阶数值!$A$2:$B$31,2,FALSE))</f>
        <v>444.01</v>
      </c>
      <c r="AM12" s="41" t="s">
        <v>1</v>
      </c>
      <c r="AN12" s="41">
        <f>IF(AN3=1,VLOOKUP(AN4,英雄升级数值!$H$2:$S$42,2,FALSE),IF(AN3=2,VLOOKUP(AN4,英雄升级数值!$H$2:$S$42,6,FALSE),VLOOKUP(AN4,英雄升级数值!$H$2:$S$42,10,FALSE)))*(1+VLOOKUP(AN5,英雄升星数值!$A$3:$G$8,7))+IF(AN6=1,英雄装备数值!$D$3*AN7*英雄装备数值!$D$42/战力关系!$B$2,IF(AN6=2,英雄装备数值!$D$4*AN7*英雄装备数值!$D$42/战力关系!$B$2,英雄装备数值!$D$5*AN7*英雄装备数值!$D$42/战力关系!$B$2))+VLOOKUP(AN8,装备强化数值!$A$2:$B$22,2,FALSE)*AN7/3/战力关系!$B$2+IF(AN9=1,VLOOKUP(AN10,'宠物升级数值-标准单只'!$A$3:$AD$42,8,FALSE),IF(AN9=2,VLOOKUP(AN10,'宠物升级数值-标准单只'!$A$3:$AD$42,18,FALSE),VLOOKUP(AN10,'宠物升级数值-标准单只'!$A$3:$AD$42,28,FALSE)))*(1+VLOOKUP(AN11,宠物升阶数值!$A$2:$B$31,2,FALSE))</f>
        <v>444.01</v>
      </c>
      <c r="AO12" s="41" t="s">
        <v>1</v>
      </c>
      <c r="AP12" s="49">
        <f>IF(AP3=1,VLOOKUP(AP4,英雄升级数值!$H$2:$S$42,2,FALSE),IF(AP3=2,VLOOKUP(AP4,英雄升级数值!$H$2:$S$42,6,FALSE),VLOOKUP(AP4,英雄升级数值!$H$2:$S$42,10,FALSE)))*(1+VLOOKUP(AP5,英雄升星数值!$A$3:$G$8,7))+IF(AP6=1,英雄装备数值!$D$3*AP7*英雄装备数值!$D$42/战力关系!$B$2,IF(AP6=2,英雄装备数值!$D$4*AP7*英雄装备数值!$D$42/战力关系!$B$2,英雄装备数值!$D$5*AP7*英雄装备数值!$D$42/战力关系!$B$2))+VLOOKUP(AP8,装备强化数值!$A$2:$B$22,2,FALSE)*AP7/3/战力关系!$B$2+IF(AP9=1,VLOOKUP(AP10,'宠物升级数值-标准单只'!$A$3:$AD$42,8,FALSE),IF(AP9=2,VLOOKUP(AP10,'宠物升级数值-标准单只'!$A$3:$AD$42,18,FALSE),VLOOKUP(AP10,'宠物升级数值-标准单只'!$A$3:$AD$42,28,FALSE)))*(1+VLOOKUP(AP11,宠物升阶数值!$A$2:$B$31,2,FALSE))</f>
        <v>418.53999999999996</v>
      </c>
    </row>
    <row r="13" spans="1:42" x14ac:dyDescent="0.3">
      <c r="A13" s="48" t="s">
        <v>2</v>
      </c>
      <c r="B13" s="41">
        <f>IF(B3=1,VLOOKUP(B4,英雄升级数值!$H$2:$S$42,3,FALSE),IF(B3=2,VLOOKUP(B4,英雄升级数值!$H$2:$S$42,7,FALSE),VLOOKUP(B4,英雄升级数值!$H$2:$S$42,11,FALSE)))*(1+VLOOKUP(B5,英雄升星数值!$A$3:$G$8,7))+IF(B6=1,英雄装备数值!$D$3*B7*英雄装备数值!$D$43/战力关系!$B$3,IF(B6=2,英雄装备数值!$D$4*B7*英雄装备数值!$D$43/战力关系!$B$3,英雄装备数值!$D$5*B7*英雄装备数值!$D$43/战力关系!$B$3))+VLOOKUP(B8,装备强化数值!$A$2:$B$22,2,FALSE)*B7/3/战力关系!$B$3+IF(B9=1,VLOOKUP(B10,'宠物升级数值-标准单只'!$A$3:$AD$42,9,FALSE),IF(B9=2,VLOOKUP(B10,'宠物升级数值-标准单只'!$A$3:$AD$42,19,FALSE),VLOOKUP(B10,'宠物升级数值-标准单只'!$A$3:$AD$42,29,FALSE)))*(1+VLOOKUP(B11,宠物升阶数值!$A$2:$B$31,2,FALSE))</f>
        <v>92.455000000000013</v>
      </c>
      <c r="C13" s="41" t="s">
        <v>2</v>
      </c>
      <c r="D13" s="41">
        <f>IF(D3=1,VLOOKUP(D4,英雄升级数值!$H$2:$S$42,3,FALSE),IF(D3=2,VLOOKUP(D4,英雄升级数值!$H$2:$S$42,7,FALSE),VLOOKUP(D4,英雄升级数值!$H$2:$S$42,11,FALSE)))*(1+VLOOKUP(D5,英雄升星数值!$A$3:$G$8,7))+IF(D6=1,英雄装备数值!$D$3*D7*英雄装备数值!$D$43/战力关系!$B$3,IF(D6=2,英雄装备数值!$D$4*D7*英雄装备数值!$D$43/战力关系!$B$3,英雄装备数值!$D$5*D7*英雄装备数值!$D$43/战力关系!$B$3))+VLOOKUP(D8,装备强化数值!$A$2:$B$22,2,FALSE)*D7/3/战力关系!$B$3+IF(D9=1,VLOOKUP(D10,'宠物升级数值-标准单只'!$A$3:$AD$42,9,FALSE),IF(D9=2,VLOOKUP(D10,'宠物升级数值-标准单只'!$A$3:$AD$42,19,FALSE),VLOOKUP(D10,'宠物升级数值-标准单只'!$A$3:$AD$42,29,FALSE)))*(1+VLOOKUP(D11,宠物升阶数值!$A$2:$B$31,2,FALSE))</f>
        <v>68.14500000000001</v>
      </c>
      <c r="E13" s="41" t="s">
        <v>2</v>
      </c>
      <c r="F13" s="49">
        <f>IF(F3=1,VLOOKUP(F4,英雄升级数值!$H$2:$S$42,3,FALSE),IF(F3=2,VLOOKUP(F4,英雄升级数值!$H$2:$S$42,7,FALSE),VLOOKUP(F4,英雄升级数值!$H$2:$S$42,11,FALSE)))*(1+VLOOKUP(F5,英雄升星数值!$A$3:$G$8,7))+IF(F6=1,英雄装备数值!$D$3*F7*英雄装备数值!$D$43/战力关系!$B$3,IF(F6=2,英雄装备数值!$D$4*F7*英雄装备数值!$D$43/战力关系!$B$3,英雄装备数值!$D$5*F7*英雄装备数值!$D$43/战力关系!$B$3))+VLOOKUP(F8,装备强化数值!$A$2:$B$22,2,FALSE)*F7/3/战力关系!$B$3+IF(F9=1,VLOOKUP(F10,'宠物升级数值-标准单只'!$A$3:$AD$42,9,FALSE),IF(F9=2,VLOOKUP(F10,'宠物升级数值-标准单只'!$A$3:$AD$42,19,FALSE),VLOOKUP(F10,'宠物升级数值-标准单只'!$A$3:$AD$42,29,FALSE)))*(1+VLOOKUP(F11,宠物升阶数值!$A$2:$B$31,2,FALSE))</f>
        <v>79.842500000000001</v>
      </c>
      <c r="G13" s="45" t="s">
        <v>2</v>
      </c>
      <c r="H13" s="41">
        <f>IF(H3=1,VLOOKUP(H4,英雄升级数值!$H$2:$S$42,3,FALSE),IF(H3=2,VLOOKUP(H4,英雄升级数值!$H$2:$S$42,7,FALSE),VLOOKUP(H4,英雄升级数值!$H$2:$S$42,11,FALSE)))*(1+VLOOKUP(H5,英雄升星数值!$A$3:$G$8,7))+IF(H6=1,英雄装备数值!$D$3*H7*英雄装备数值!$D$43/战力关系!$B$3,IF(H6=2,英雄装备数值!$D$4*H7*英雄装备数值!$D$43/战力关系!$B$3,英雄装备数值!$D$5*H7*英雄装备数值!$D$43/战力关系!$B$3))+VLOOKUP(H8,装备强化数值!$A$2:$B$22,2,FALSE)*H7/3/战力关系!$B$3+IF(H9=1,VLOOKUP(H10,'宠物升级数值-标准单只'!$A$3:$AD$42,9,FALSE),IF(H9=2,VLOOKUP(H10,'宠物升级数值-标准单只'!$A$3:$AD$42,19,FALSE),VLOOKUP(H10,'宠物升级数值-标准单只'!$A$3:$AD$42,29,FALSE)))*(1+VLOOKUP(H11,宠物升阶数值!$A$2:$B$31,2,FALSE))</f>
        <v>151.11500000000001</v>
      </c>
      <c r="I13" s="41" t="s">
        <v>2</v>
      </c>
      <c r="J13" s="41">
        <f>IF(J3=1,VLOOKUP(J4,英雄升级数值!$H$2:$S$42,3,FALSE),IF(J3=2,VLOOKUP(J4,英雄升级数值!$H$2:$S$42,7,FALSE),VLOOKUP(J4,英雄升级数值!$H$2:$S$42,11,FALSE)))*(1+VLOOKUP(J5,英雄升星数值!$A$3:$G$8,7))+IF(J6=1,英雄装备数值!$D$3*J7*英雄装备数值!$D$43/战力关系!$B$3,IF(J6=2,英雄装备数值!$D$4*J7*英雄装备数值!$D$43/战力关系!$B$3,英雄装备数值!$D$5*J7*英雄装备数值!$D$43/战力关系!$B$3))+VLOOKUP(J8,装备强化数值!$A$2:$B$22,2,FALSE)*J7/3/战力关系!$B$3+IF(J9=1,VLOOKUP(J10,'宠物升级数值-标准单只'!$A$3:$AD$42,9,FALSE),IF(J9=2,VLOOKUP(J10,'宠物升级数值-标准单只'!$A$3:$AD$42,19,FALSE),VLOOKUP(J10,'宠物升级数值-标准单只'!$A$3:$AD$42,29,FALSE)))*(1+VLOOKUP(J11,宠物升阶数值!$A$2:$B$31,2,FALSE))</f>
        <v>143.91499999999999</v>
      </c>
      <c r="K13" s="41" t="s">
        <v>2</v>
      </c>
      <c r="L13" s="49">
        <f>IF(L3=1,VLOOKUP(L4,英雄升级数值!$H$2:$S$42,3,FALSE),IF(L3=2,VLOOKUP(L4,英雄升级数值!$H$2:$S$42,7,FALSE),VLOOKUP(L4,英雄升级数值!$H$2:$S$42,11,FALSE)))*(1+VLOOKUP(L5,英雄升星数值!$A$3:$G$8,7))+IF(L6=1,英雄装备数值!$D$3*L7*英雄装备数值!$D$43/战力关系!$B$3,IF(L6=2,英雄装备数值!$D$4*L7*英雄装备数值!$D$43/战力关系!$B$3,英雄装备数值!$D$5*L7*英雄装备数值!$D$43/战力关系!$B$3))+VLOOKUP(L8,装备强化数值!$A$2:$B$22,2,FALSE)*L7/3/战力关系!$B$3+IF(L9=1,VLOOKUP(L10,'宠物升级数值-标准单只'!$A$3:$AD$42,9,FALSE),IF(L9=2,VLOOKUP(L10,'宠物升级数值-标准单只'!$A$3:$AD$42,19,FALSE),VLOOKUP(L10,'宠物升级数值-标准单只'!$A$3:$AD$42,29,FALSE)))*(1+VLOOKUP(L11,宠物升阶数值!$A$2:$B$31,2,FALSE))</f>
        <v>111.1665</v>
      </c>
      <c r="M13" s="48" t="s">
        <v>2</v>
      </c>
      <c r="N13" s="41">
        <f>IF(N3=1,VLOOKUP(N4,英雄升级数值!$H$2:$S$42,3,FALSE),IF(N3=2,VLOOKUP(N4,英雄升级数值!$H$2:$S$42,7,FALSE),VLOOKUP(N4,英雄升级数值!$H$2:$S$42,11,FALSE)))*(1+VLOOKUP(N5,英雄升星数值!$A$3:$G$8,7))+IF(N6=1,英雄装备数值!$D$3*N7*英雄装备数值!$D$43/战力关系!$B$3,IF(N6=2,英雄装备数值!$D$4*N7*英雄装备数值!$D$43/战力关系!$B$3,英雄装备数值!$D$5*N7*英雄装备数值!$D$43/战力关系!$B$3))+VLOOKUP(N8,装备强化数值!$A$2:$B$22,2,FALSE)*N7/3/战力关系!$B$3+IF(N9=1,VLOOKUP(N10,'宠物升级数值-标准单只'!$A$3:$AD$42,9,FALSE),IF(N9=2,VLOOKUP(N10,'宠物升级数值-标准单只'!$A$3:$AD$42,19,FALSE),VLOOKUP(N10,'宠物升级数值-标准单只'!$A$3:$AD$42,29,FALSE)))*(1+VLOOKUP(N11,宠物升阶数值!$A$2:$B$31,2,FALSE))</f>
        <v>285.34049999999996</v>
      </c>
      <c r="O13" s="41" t="s">
        <v>2</v>
      </c>
      <c r="P13" s="41">
        <f>IF(P3=1,VLOOKUP(P4,英雄升级数值!$H$2:$S$42,3,FALSE),IF(P3=2,VLOOKUP(P4,英雄升级数值!$H$2:$S$42,7,FALSE),VLOOKUP(P4,英雄升级数值!$H$2:$S$42,11,FALSE)))*(1+VLOOKUP(P5,英雄升星数值!$A$3:$G$8,7))+IF(P6=1,英雄装备数值!$D$3*P7*英雄装备数值!$D$43/战力关系!$B$3,IF(P6=2,英雄装备数值!$D$4*P7*英雄装备数值!$D$43/战力关系!$B$3,英雄装备数值!$D$5*P7*英雄装备数值!$D$43/战力关系!$B$3))+VLOOKUP(P8,装备强化数值!$A$2:$B$22,2,FALSE)*P7/3/战力关系!$B$3+IF(P9=1,VLOOKUP(P10,'宠物升级数值-标准单只'!$A$3:$AD$42,9,FALSE),IF(P9=2,VLOOKUP(P10,'宠物升级数值-标准单只'!$A$3:$AD$42,19,FALSE),VLOOKUP(P10,'宠物升级数值-标准单只'!$A$3:$AD$42,29,FALSE)))*(1+VLOOKUP(P11,宠物升阶数值!$A$2:$B$31,2,FALSE))</f>
        <v>285.34049999999996</v>
      </c>
      <c r="Q13" s="41" t="s">
        <v>2</v>
      </c>
      <c r="R13" s="49">
        <f>IF(R3=1,VLOOKUP(R4,英雄升级数值!$H$2:$S$42,3,FALSE),IF(R3=2,VLOOKUP(R4,英雄升级数值!$H$2:$S$42,7,FALSE),VLOOKUP(R4,英雄升级数值!$H$2:$S$42,11,FALSE)))*(1+VLOOKUP(R5,英雄升星数值!$A$3:$G$8,7))+IF(R6=1,英雄装备数值!$D$3*R7*英雄装备数值!$D$43/战力关系!$B$3,IF(R6=2,英雄装备数值!$D$4*R7*英雄装备数值!$D$43/战力关系!$B$3,英雄装备数值!$D$5*R7*英雄装备数值!$D$43/战力关系!$B$3))+VLOOKUP(R8,装备强化数值!$A$2:$B$22,2,FALSE)*R7/3/战力关系!$B$3+IF(R9=1,VLOOKUP(R10,'宠物升级数值-标准单只'!$A$3:$AD$42,9,FALSE),IF(R9=2,VLOOKUP(R10,'宠物升级数值-标准单只'!$A$3:$AD$42,19,FALSE),VLOOKUP(R10,'宠物升级数值-标准单只'!$A$3:$AD$42,29,FALSE)))*(1+VLOOKUP(R11,宠物升阶数值!$A$2:$B$31,2,FALSE))</f>
        <v>267.34049999999996</v>
      </c>
      <c r="S13" s="48" t="s">
        <v>2</v>
      </c>
      <c r="T13" s="41">
        <f>IF(T3=1,VLOOKUP(T4,英雄升级数值!$H$2:$S$42,3,FALSE),IF(T3=2,VLOOKUP(T4,英雄升级数值!$H$2:$S$42,7,FALSE),VLOOKUP(T4,英雄升级数值!$H$2:$S$42,11,FALSE)))*(1+VLOOKUP(T5,英雄升星数值!$A$3:$G$8,7))+IF(T6=1,英雄装备数值!$D$3*T7*英雄装备数值!$D$43/战力关系!$B$3,IF(T6=2,英雄装备数值!$D$4*T7*英雄装备数值!$D$43/战力关系!$B$3,英雄装备数值!$D$5*T7*英雄装备数值!$D$43/战力关系!$B$3))+VLOOKUP(T8,装备强化数值!$A$2:$B$22,2,FALSE)*T7/3/战力关系!$B$3+IF(T9=1,VLOOKUP(T10,'宠物升级数值-标准单只'!$A$3:$AD$42,9,FALSE),IF(T9=2,VLOOKUP(T10,'宠物升级数值-标准单只'!$A$3:$AD$42,19,FALSE),VLOOKUP(T10,'宠物升级数值-标准单只'!$A$3:$AD$42,29,FALSE)))*(1+VLOOKUP(T11,宠物升阶数值!$A$2:$B$31,2,FALSE))</f>
        <v>331.72999999999996</v>
      </c>
      <c r="U13" s="41" t="s">
        <v>2</v>
      </c>
      <c r="V13" s="41">
        <f>IF(V3=1,VLOOKUP(V4,英雄升级数值!$H$2:$S$42,3,FALSE),IF(V3=2,VLOOKUP(V4,英雄升级数值!$H$2:$S$42,7,FALSE),VLOOKUP(V4,英雄升级数值!$H$2:$S$42,11,FALSE)))*(1+VLOOKUP(V5,英雄升星数值!$A$3:$G$8,7))+IF(V6=1,英雄装备数值!$D$3*V7*英雄装备数值!$D$43/战力关系!$B$3,IF(V6=2,英雄装备数值!$D$4*V7*英雄装备数值!$D$43/战力关系!$B$3,英雄装备数值!$D$5*V7*英雄装备数值!$D$43/战力关系!$B$3))+VLOOKUP(V8,装备强化数值!$A$2:$B$22,2,FALSE)*V7/3/战力关系!$B$3+IF(V9=1,VLOOKUP(V10,'宠物升级数值-标准单只'!$A$3:$AD$42,9,FALSE),IF(V9=2,VLOOKUP(V10,'宠物升级数值-标准单只'!$A$3:$AD$42,19,FALSE),VLOOKUP(V10,'宠物升级数值-标准单只'!$A$3:$AD$42,29,FALSE)))*(1+VLOOKUP(V11,宠物升阶数值!$A$2:$B$31,2,FALSE))</f>
        <v>311.13799999999998</v>
      </c>
      <c r="W13" s="41" t="s">
        <v>2</v>
      </c>
      <c r="X13" s="49">
        <f>IF(X3=1,VLOOKUP(X4,英雄升级数值!$H$2:$S$42,3,FALSE),IF(X3=2,VLOOKUP(X4,英雄升级数值!$H$2:$S$42,7,FALSE),VLOOKUP(X4,英雄升级数值!$H$2:$S$42,11,FALSE)))*(1+VLOOKUP(X5,英雄升星数值!$A$3:$G$8,7))+IF(X6=1,英雄装备数值!$D$3*X7*英雄装备数值!$D$43/战力关系!$B$3,IF(X6=2,英雄装备数值!$D$4*X7*英雄装备数值!$D$43/战力关系!$B$3,英雄装备数值!$D$5*X7*英雄装备数值!$D$43/战力关系!$B$3))+VLOOKUP(X8,装备强化数值!$A$2:$B$22,2,FALSE)*X7/3/战力关系!$B$3+IF(X9=1,VLOOKUP(X10,'宠物升级数值-标准单只'!$A$3:$AD$42,9,FALSE),IF(X9=2,VLOOKUP(X10,'宠物升级数值-标准单只'!$A$3:$AD$42,19,FALSE),VLOOKUP(X10,'宠物升级数值-标准单只'!$A$3:$AD$42,29,FALSE)))*(1+VLOOKUP(X11,宠物升阶数值!$A$2:$B$31,2,FALSE))</f>
        <v>293.13799999999998</v>
      </c>
      <c r="Y13" s="48" t="s">
        <v>2</v>
      </c>
      <c r="Z13" s="41">
        <f>IF(Z3=1,VLOOKUP(Z4,英雄升级数值!$H$2:$S$42,3,FALSE),IF(Z3=2,VLOOKUP(Z4,英雄升级数值!$H$2:$S$42,7,FALSE),VLOOKUP(Z4,英雄升级数值!$H$2:$S$42,11,FALSE)))*(1+VLOOKUP(Z5,英雄升星数值!$A$3:$G$8,7))+IF(Z6=1,英雄装备数值!$D$3*Z7*英雄装备数值!$D$43/战力关系!$B$3,IF(Z6=2,英雄装备数值!$D$4*Z7*英雄装备数值!$D$43/战力关系!$B$3,英雄装备数值!$D$5*Z7*英雄装备数值!$D$43/战力关系!$B$3))+VLOOKUP(Z8,装备强化数值!$A$2:$B$22,2,FALSE)*Z7/3/战力关系!$B$3+IF(Z9=1,VLOOKUP(Z10,'宠物升级数值-标准单只'!$A$3:$AD$42,9,FALSE),IF(Z9=2,VLOOKUP(Z10,'宠物升级数值-标准单只'!$A$3:$AD$42,19,FALSE),VLOOKUP(Z10,'宠物升级数值-标准单只'!$A$3:$AD$42,29,FALSE)))*(1+VLOOKUP(Z11,宠物升阶数值!$A$2:$B$31,2,FALSE))</f>
        <v>384.8175</v>
      </c>
      <c r="AA13" s="41" t="s">
        <v>2</v>
      </c>
      <c r="AB13" s="41">
        <f>IF(AB3=1,VLOOKUP(AB4,英雄升级数值!$H$2:$S$42,3,FALSE),IF(AB3=2,VLOOKUP(AB4,英雄升级数值!$H$2:$S$42,7,FALSE),VLOOKUP(AB4,英雄升级数值!$H$2:$S$42,11,FALSE)))*(1+VLOOKUP(AB5,英雄升星数值!$A$3:$G$8,7))+IF(AB6=1,英雄装备数值!$D$3*AB7*英雄装备数值!$D$43/战力关系!$B$3,IF(AB6=2,英雄装备数值!$D$4*AB7*英雄装备数值!$D$43/战力关系!$B$3,英雄装备数值!$D$5*AB7*英雄装备数值!$D$43/战力关系!$B$3))+VLOOKUP(AB8,装备强化数值!$A$2:$B$22,2,FALSE)*AB7/3/战力关系!$B$3+IF(AB9=1,VLOOKUP(AB10,'宠物升级数值-标准单只'!$A$3:$AD$42,9,FALSE),IF(AB9=2,VLOOKUP(AB10,'宠物升级数值-标准单只'!$A$3:$AD$42,19,FALSE),VLOOKUP(AB10,'宠物升级数值-标准单只'!$A$3:$AD$42,29,FALSE)))*(1+VLOOKUP(AB11,宠物升阶数值!$A$2:$B$31,2,FALSE))</f>
        <v>348.95699999999999</v>
      </c>
      <c r="AC13" s="41" t="s">
        <v>2</v>
      </c>
      <c r="AD13" s="49">
        <f>IF(AD3=1,VLOOKUP(AD4,英雄升级数值!$H$2:$S$42,3,FALSE),IF(AD3=2,VLOOKUP(AD4,英雄升级数值!$H$2:$S$42,7,FALSE),VLOOKUP(AD4,英雄升级数值!$H$2:$S$42,11,FALSE)))*(1+VLOOKUP(AD5,英雄升星数值!$A$3:$G$8,7))+IF(AD6=1,英雄装备数值!$D$3*AD7*英雄装备数值!$D$43/战力关系!$B$3,IF(AD6=2,英雄装备数值!$D$4*AD7*英雄装备数值!$D$43/战力关系!$B$3,英雄装备数值!$D$5*AD7*英雄装备数值!$D$43/战力关系!$B$3))+VLOOKUP(AD8,装备强化数值!$A$2:$B$22,2,FALSE)*AD7/3/战力关系!$B$3+IF(AD9=1,VLOOKUP(AD10,'宠物升级数值-标准单只'!$A$3:$AD$42,9,FALSE),IF(AD9=2,VLOOKUP(AD10,'宠物升级数值-标准单只'!$A$3:$AD$42,19,FALSE),VLOOKUP(AD10,'宠物升级数值-标准单只'!$A$3:$AD$42,29,FALSE)))*(1+VLOOKUP(AD11,宠物升阶数值!$A$2:$B$31,2,FALSE))</f>
        <v>332.56700000000001</v>
      </c>
      <c r="AE13" s="48" t="s">
        <v>2</v>
      </c>
      <c r="AF13" s="41">
        <f>IF(AF3=1,VLOOKUP(AF4,英雄升级数值!$H$2:$S$42,3,FALSE),IF(AF3=2,VLOOKUP(AF4,英雄升级数值!$H$2:$S$42,7,FALSE),VLOOKUP(AF4,英雄升级数值!$H$2:$S$42,11,FALSE)))*(1+VLOOKUP(AF5,英雄升星数值!$A$3:$G$8,7))+IF(AF6=1,英雄装备数值!$D$3*AF7*英雄装备数值!$D$43/战力关系!$B$3,IF(AF6=2,英雄装备数值!$D$4*AF7*英雄装备数值!$D$43/战力关系!$B$3,英雄装备数值!$D$5*AF7*英雄装备数值!$D$43/战力关系!$B$3))+VLOOKUP(AF8,装备强化数值!$A$2:$B$22,2,FALSE)*AF7/3/战力关系!$B$3+IF(AF9=1,VLOOKUP(AF10,'宠物升级数值-标准单只'!$A$3:$AD$42,9,FALSE),IF(AF9=2,VLOOKUP(AF10,'宠物升级数值-标准单只'!$A$3:$AD$42,19,FALSE),VLOOKUP(AF10,'宠物升级数值-标准单只'!$A$3:$AD$42,29,FALSE)))*(1+VLOOKUP(AF11,宠物升阶数值!$A$2:$B$31,2,FALSE))</f>
        <v>414.76</v>
      </c>
      <c r="AG13" s="41" t="s">
        <v>2</v>
      </c>
      <c r="AH13" s="41">
        <f>IF(AH3=1,VLOOKUP(AH4,英雄升级数值!$H$2:$S$42,3,FALSE),IF(AH3=2,VLOOKUP(AH4,英雄升级数值!$H$2:$S$42,7,FALSE),VLOOKUP(AH4,英雄升级数值!$H$2:$S$42,11,FALSE)))*(1+VLOOKUP(AH5,英雄升星数值!$A$3:$G$8,7))+IF(AH6=1,英雄装备数值!$D$3*AH7*英雄装备数值!$D$43/战力关系!$B$3,IF(AH6=2,英雄装备数值!$D$4*AH7*英雄装备数值!$D$43/战力关系!$B$3,英雄装备数值!$D$5*AH7*英雄装备数值!$D$43/战力关系!$B$3))+VLOOKUP(AH8,装备强化数值!$A$2:$B$22,2,FALSE)*AH7/3/战力关系!$B$3+IF(AH9=1,VLOOKUP(AH10,'宠物升级数值-标准单只'!$A$3:$AD$42,9,FALSE),IF(AH9=2,VLOOKUP(AH10,'宠物升级数值-标准单只'!$A$3:$AD$42,19,FALSE),VLOOKUP(AH10,'宠物升级数值-标准单只'!$A$3:$AD$42,29,FALSE)))*(1+VLOOKUP(AH11,宠物升阶数值!$A$2:$B$31,2,FALSE))</f>
        <v>386.76</v>
      </c>
      <c r="AI13" s="41" t="s">
        <v>2</v>
      </c>
      <c r="AJ13" s="49">
        <f>IF(AJ3=1,VLOOKUP(AJ4,英雄升级数值!$H$2:$S$42,3,FALSE),IF(AJ3=2,VLOOKUP(AJ4,英雄升级数值!$H$2:$S$42,7,FALSE),VLOOKUP(AJ4,英雄升级数值!$H$2:$S$42,11,FALSE)))*(1+VLOOKUP(AJ5,英雄升星数值!$A$3:$G$8,7))+IF(AJ6=1,英雄装备数值!$D$3*AJ7*英雄装备数值!$D$43/战力关系!$B$3,IF(AJ6=2,英雄装备数值!$D$4*AJ7*英雄装备数值!$D$43/战力关系!$B$3,英雄装备数值!$D$5*AJ7*英雄装备数值!$D$43/战力关系!$B$3))+VLOOKUP(AJ8,装备强化数值!$A$2:$B$22,2,FALSE)*AJ7/3/战力关系!$B$3+IF(AJ9=1,VLOOKUP(AJ10,'宠物升级数值-标准单只'!$A$3:$AD$42,9,FALSE),IF(AJ9=2,VLOOKUP(AJ10,'宠物升级数值-标准单只'!$A$3:$AD$42,19,FALSE),VLOOKUP(AJ10,'宠物升级数值-标准单只'!$A$3:$AD$42,29,FALSE)))*(1+VLOOKUP(AJ11,宠物升阶数值!$A$2:$B$31,2,FALSE))</f>
        <v>367.10399999999998</v>
      </c>
      <c r="AK13" s="48" t="s">
        <v>2</v>
      </c>
      <c r="AL13" s="41">
        <f>IF(AL3=1,VLOOKUP(AL4,英雄升级数值!$H$2:$S$42,3,FALSE),IF(AL3=2,VLOOKUP(AL4,英雄升级数值!$H$2:$S$42,7,FALSE),VLOOKUP(AL4,英雄升级数值!$H$2:$S$42,11,FALSE)))*(1+VLOOKUP(AL5,英雄升星数值!$A$3:$G$8,7))+IF(AL6=1,英雄装备数值!$D$3*AL7*英雄装备数值!$D$43/战力关系!$B$3,IF(AL6=2,英雄装备数值!$D$4*AL7*英雄装备数值!$D$43/战力关系!$B$3,英雄装备数值!$D$5*AL7*英雄装备数值!$D$43/战力关系!$B$3))+VLOOKUP(AL8,装备强化数值!$A$2:$B$22,2,FALSE)*AL7/3/战力关系!$B$3+IF(AL9=1,VLOOKUP(AL10,'宠物升级数值-标准单只'!$A$3:$AD$42,9,FALSE),IF(AL9=2,VLOOKUP(AL10,'宠物升级数值-标准单只'!$A$3:$AD$42,19,FALSE),VLOOKUP(AL10,'宠物升级数值-标准单只'!$A$3:$AD$42,29,FALSE)))*(1+VLOOKUP(AL11,宠物升阶数值!$A$2:$B$31,2,FALSE))</f>
        <v>444.01</v>
      </c>
      <c r="AM13" s="41" t="s">
        <v>2</v>
      </c>
      <c r="AN13" s="41">
        <f>IF(AN3=1,VLOOKUP(AN4,英雄升级数值!$H$2:$S$42,3,FALSE),IF(AN3=2,VLOOKUP(AN4,英雄升级数值!$H$2:$S$42,7,FALSE),VLOOKUP(AN4,英雄升级数值!$H$2:$S$42,11,FALSE)))*(1+VLOOKUP(AN5,英雄升星数值!$A$3:$G$8,7))+IF(AN6=1,英雄装备数值!$D$3*AN7*英雄装备数值!$D$43/战力关系!$B$3,IF(AN6=2,英雄装备数值!$D$4*AN7*英雄装备数值!$D$43/战力关系!$B$3,英雄装备数值!$D$5*AN7*英雄装备数值!$D$43/战力关系!$B$3))+VLOOKUP(AN8,装备强化数值!$A$2:$B$22,2,FALSE)*AN7/3/战力关系!$B$3+IF(AN9=1,VLOOKUP(AN10,'宠物升级数值-标准单只'!$A$3:$AD$42,9,FALSE),IF(AN9=2,VLOOKUP(AN10,'宠物升级数值-标准单只'!$A$3:$AD$42,19,FALSE),VLOOKUP(AN10,'宠物升级数值-标准单只'!$A$3:$AD$42,29,FALSE)))*(1+VLOOKUP(AN11,宠物升阶数值!$A$2:$B$31,2,FALSE))</f>
        <v>444.01</v>
      </c>
      <c r="AO13" s="41" t="s">
        <v>2</v>
      </c>
      <c r="AP13" s="49">
        <f>IF(AP3=1,VLOOKUP(AP4,英雄升级数值!$H$2:$S$42,3,FALSE),IF(AP3=2,VLOOKUP(AP4,英雄升级数值!$H$2:$S$42,7,FALSE),VLOOKUP(AP4,英雄升级数值!$H$2:$S$42,11,FALSE)))*(1+VLOOKUP(AP5,英雄升星数值!$A$3:$G$8,7))+IF(AP6=1,英雄装备数值!$D$3*AP7*英雄装备数值!$D$43/战力关系!$B$3,IF(AP6=2,英雄装备数值!$D$4*AP7*英雄装备数值!$D$43/战力关系!$B$3,英雄装备数值!$D$5*AP7*英雄装备数值!$D$43/战力关系!$B$3))+VLOOKUP(AP8,装备强化数值!$A$2:$B$22,2,FALSE)*AP7/3/战力关系!$B$3+IF(AP9=1,VLOOKUP(AP10,'宠物升级数值-标准单只'!$A$3:$AD$42,9,FALSE),IF(AP9=2,VLOOKUP(AP10,'宠物升级数值-标准单只'!$A$3:$AD$42,19,FALSE),VLOOKUP(AP10,'宠物升级数值-标准单只'!$A$3:$AD$42,29,FALSE)))*(1+VLOOKUP(AP11,宠物升阶数值!$A$2:$B$31,2,FALSE))</f>
        <v>418.53999999999996</v>
      </c>
    </row>
    <row r="14" spans="1:42" x14ac:dyDescent="0.3">
      <c r="A14" s="48" t="s">
        <v>3</v>
      </c>
      <c r="B14" s="41">
        <f>IF(B3=1,VLOOKUP(B4,英雄升级数值!$H$2:$S$42,4,FALSE),IF(B3=2,VLOOKUP(B4,英雄升级数值!$H$2:$S$42,8,FALSE),VLOOKUP(B4,英雄升级数值!$H$2:$S$42,12,FALSE)))*(1+VLOOKUP(B5,英雄升星数值!$A$3:$G$8,7))+IF(B6=1,英雄装备数值!$D$3*B7*英雄装备数值!$D$44/战力关系!$B$4,IF(B6=2,英雄装备数值!$D$4*B7*英雄装备数值!$D$44/战力关系!$B$4,英雄装备数值!$D$5*B7*英雄装备数值!$D$44/战力关系!$B$4))+VLOOKUP(B8,装备强化数值!$A$2:$B$22,2,FALSE)*B7/3/战力关系!$B$4+IF(B9=1,VLOOKUP(B10,'宠物升级数值-标准单只'!$A$3:$AD$42,10,FALSE),IF(B9=2,VLOOKUP(B10,'宠物升级数值-标准单只'!$A$3:$AD$42,20,FALSE),VLOOKUP(B10,'宠物升级数值-标准单只'!$A$3:$AD$42,30,FALSE)))*(1+VLOOKUP(B11,宠物升阶数值!$A$2:$B$31,2,FALSE))</f>
        <v>2397.1750000000002</v>
      </c>
      <c r="C14" s="41" t="s">
        <v>3</v>
      </c>
      <c r="D14" s="41">
        <f>IF(D3=1,VLOOKUP(D4,英雄升级数值!$H$2:$S$42,4,FALSE),IF(D3=2,VLOOKUP(D4,英雄升级数值!$H$2:$S$42,8,FALSE),VLOOKUP(D4,英雄升级数值!$H$2:$S$42,12,FALSE)))*(1+VLOOKUP(D5,英雄升星数值!$A$3:$G$8,7))+IF(D6=1,英雄装备数值!$D$3*D7*英雄装备数值!$D$44/战力关系!$B$4,IF(D6=2,英雄装备数值!$D$4*D7*英雄装备数值!$D$44/战力关系!$B$4,英雄装备数值!$D$5*D7*英雄装备数值!$D$44/战力关系!$B$4))+VLOOKUP(D8,装备强化数值!$A$2:$B$22,2,FALSE)*D7/3/战力关系!$B$4+IF(D9=1,VLOOKUP(D10,'宠物升级数值-标准单只'!$A$3:$AD$42,10,FALSE),IF(D9=2,VLOOKUP(D10,'宠物升级数值-标准单只'!$A$3:$AD$42,20,FALSE),VLOOKUP(D10,'宠物升级数值-标准单只'!$A$3:$AD$42,30,FALSE)))*(1+VLOOKUP(D11,宠物升阶数值!$A$2:$B$31,2,FALSE))</f>
        <v>1769.625</v>
      </c>
      <c r="E14" s="41" t="s">
        <v>3</v>
      </c>
      <c r="F14" s="49">
        <f>IF(F3=1,VLOOKUP(F4,英雄升级数值!$H$2:$S$42,4,FALSE),IF(F3=2,VLOOKUP(F4,英雄升级数值!$H$2:$S$42,8,FALSE),VLOOKUP(F4,英雄升级数值!$H$2:$S$42,12,FALSE)))*(1+VLOOKUP(F5,英雄升星数值!$A$3:$G$8,7))+IF(F6=1,英雄装备数值!$D$3*F7*英雄装备数值!$D$44/战力关系!$B$4,IF(F6=2,英雄装备数值!$D$4*F7*英雄装备数值!$D$44/战力关系!$B$4,英雄装备数值!$D$5*F7*英雄装备数值!$D$44/战力关系!$B$4))+VLOOKUP(F8,装备强化数值!$A$2:$B$22,2,FALSE)*F7/3/战力关系!$B$4+IF(F9=1,VLOOKUP(F10,'宠物升级数值-标准单只'!$A$3:$AD$42,10,FALSE),IF(F9=2,VLOOKUP(F10,'宠物升级数值-标准单只'!$A$3:$AD$42,20,FALSE),VLOOKUP(F10,'宠物升级数值-标准单只'!$A$3:$AD$42,30,FALSE)))*(1+VLOOKUP(F11,宠物升阶数值!$A$2:$B$31,2,FALSE))</f>
        <v>2062.0625</v>
      </c>
      <c r="G14" s="45" t="s">
        <v>3</v>
      </c>
      <c r="H14" s="41">
        <f>IF(H3=1,VLOOKUP(H4,英雄升级数值!$H$2:$S$42,4,FALSE),IF(H3=2,VLOOKUP(H4,英雄升级数值!$H$2:$S$42,8,FALSE),VLOOKUP(H4,英雄升级数值!$H$2:$S$42,12,FALSE)))*(1+VLOOKUP(H5,英雄升星数值!$A$3:$G$8,7))+IF(H6=1,英雄装备数值!$D$3*H7*英雄装备数值!$D$44/战力关系!$B$4,IF(H6=2,英雄装备数值!$D$4*H7*英雄装备数值!$D$44/战力关系!$B$4,英雄装备数值!$D$5*H7*英雄装备数值!$D$44/战力关系!$B$4))+VLOOKUP(H8,装备强化数值!$A$2:$B$22,2,FALSE)*H7/3/战力关系!$B$4+IF(H9=1,VLOOKUP(H10,'宠物升级数值-标准单只'!$A$3:$AD$42,10,FALSE),IF(H9=2,VLOOKUP(H10,'宠物升级数值-标准单只'!$A$3:$AD$42,20,FALSE),VLOOKUP(H10,'宠物升级数值-标准单只'!$A$3:$AD$42,30,FALSE)))*(1+VLOOKUP(H11,宠物升阶数值!$A$2:$B$31,2,FALSE))</f>
        <v>3913.5949999999998</v>
      </c>
      <c r="I14" s="41" t="s">
        <v>3</v>
      </c>
      <c r="J14" s="41">
        <f>IF(J3=1,VLOOKUP(J4,英雄升级数值!$H$2:$S$42,4,FALSE),IF(J3=2,VLOOKUP(J4,英雄升级数值!$H$2:$S$42,8,FALSE),VLOOKUP(J4,英雄升级数值!$H$2:$S$42,12,FALSE)))*(1+VLOOKUP(J5,英雄升星数值!$A$3:$G$8,7))+IF(J6=1,英雄装备数值!$D$3*J7*英雄装备数值!$D$44/战力关系!$B$4,IF(J6=2,英雄装备数值!$D$4*J7*英雄装备数值!$D$44/战力关系!$B$4,英雄装备数值!$D$5*J7*英雄装备数值!$D$44/战力关系!$B$4))+VLOOKUP(J8,装备强化数值!$A$2:$B$22,2,FALSE)*J7/3/战力关系!$B$4+IF(J9=1,VLOOKUP(J10,'宠物升级数值-标准单只'!$A$3:$AD$42,10,FALSE),IF(J9=2,VLOOKUP(J10,'宠物升级数值-标准单只'!$A$3:$AD$42,20,FALSE),VLOOKUP(J10,'宠物升级数值-标准单只'!$A$3:$AD$42,30,FALSE)))*(1+VLOOKUP(J11,宠物升阶数值!$A$2:$B$31,2,FALSE))</f>
        <v>3733.5949999999998</v>
      </c>
      <c r="K14" s="41" t="s">
        <v>3</v>
      </c>
      <c r="L14" s="49">
        <f>IF(L3=1,VLOOKUP(L4,英雄升级数值!$H$2:$S$42,4,FALSE),IF(L3=2,VLOOKUP(L4,英雄升级数值!$H$2:$S$42,8,FALSE),VLOOKUP(L4,英雄升级数值!$H$2:$S$42,12,FALSE)))*(1+VLOOKUP(L5,英雄升星数值!$A$3:$G$8,7))+IF(L6=1,英雄装备数值!$D$3*L7*英雄装备数值!$D$44/战力关系!$B$4,IF(L6=2,英雄装备数值!$D$4*L7*英雄装备数值!$D$44/战力关系!$B$4,英雄装备数值!$D$5*L7*英雄装备数值!$D$44/战力关系!$B$4))+VLOOKUP(L8,装备强化数值!$A$2:$B$22,2,FALSE)*L7/3/战力关系!$B$4+IF(L9=1,VLOOKUP(L10,'宠物升级数值-标准单只'!$A$3:$AD$42,10,FALSE),IF(L9=2,VLOOKUP(L10,'宠物升级数值-标准单只'!$A$3:$AD$42,20,FALSE),VLOOKUP(L10,'宠物升级数值-标准单只'!$A$3:$AD$42,30,FALSE)))*(1+VLOOKUP(L11,宠物升阶数值!$A$2:$B$31,2,FALSE))</f>
        <v>2883.5625000000005</v>
      </c>
      <c r="M14" s="48" t="s">
        <v>3</v>
      </c>
      <c r="N14" s="41">
        <f>IF(N3=1,VLOOKUP(N4,英雄升级数值!$H$2:$S$42,4,FALSE),IF(N3=2,VLOOKUP(N4,英雄升级数值!$H$2:$S$42,8,FALSE),VLOOKUP(N4,英雄升级数值!$H$2:$S$42,12,FALSE)))*(1+VLOOKUP(N5,英雄升星数值!$A$3:$G$8,7))+IF(N6=1,英雄装备数值!$D$3*N7*英雄装备数值!$D$44/战力关系!$B$4,IF(N6=2,英雄装备数值!$D$4*N7*英雄装备数值!$D$44/战力关系!$B$4,英雄装备数值!$D$5*N7*英雄装备数值!$D$44/战力关系!$B$4))+VLOOKUP(N8,装备强化数值!$A$2:$B$22,2,FALSE)*N7/3/战力关系!$B$4+IF(N9=1,VLOOKUP(N10,'宠物升级数值-标准单只'!$A$3:$AD$42,10,FALSE),IF(N9=2,VLOOKUP(N10,'宠物升级数值-标准单只'!$A$3:$AD$42,20,FALSE),VLOOKUP(N10,'宠物升级数值-标准单只'!$A$3:$AD$42,30,FALSE)))*(1+VLOOKUP(N11,宠物升阶数值!$A$2:$B$31,2,FALSE))</f>
        <v>7326.1724999999997</v>
      </c>
      <c r="O14" s="41" t="s">
        <v>3</v>
      </c>
      <c r="P14" s="41">
        <f>IF(P3=1,VLOOKUP(P4,英雄升级数值!$H$2:$S$42,4,FALSE),IF(P3=2,VLOOKUP(P4,英雄升级数值!$H$2:$S$42,8,FALSE),VLOOKUP(P4,英雄升级数值!$H$2:$S$42,12,FALSE)))*(1+VLOOKUP(P5,英雄升星数值!$A$3:$G$8,7))+IF(P6=1,英雄装备数值!$D$3*P7*英雄装备数值!$D$44/战力关系!$B$4,IF(P6=2,英雄装备数值!$D$4*P7*英雄装备数值!$D$44/战力关系!$B$4,英雄装备数值!$D$5*P7*英雄装备数值!$D$44/战力关系!$B$4))+VLOOKUP(P8,装备强化数值!$A$2:$B$22,2,FALSE)*P7/3/战力关系!$B$4+IF(P9=1,VLOOKUP(P10,'宠物升级数值-标准单只'!$A$3:$AD$42,10,FALSE),IF(P9=2,VLOOKUP(P10,'宠物升级数值-标准单只'!$A$3:$AD$42,20,FALSE),VLOOKUP(P10,'宠物升级数值-标准单只'!$A$3:$AD$42,30,FALSE)))*(1+VLOOKUP(P11,宠物升阶数值!$A$2:$B$31,2,FALSE))</f>
        <v>7326.1724999999997</v>
      </c>
      <c r="Q14" s="41" t="s">
        <v>3</v>
      </c>
      <c r="R14" s="49">
        <f>IF(R3=1,VLOOKUP(R4,英雄升级数值!$H$2:$S$42,4,FALSE),IF(R3=2,VLOOKUP(R4,英雄升级数值!$H$2:$S$42,8,FALSE),VLOOKUP(R4,英雄升级数值!$H$2:$S$42,12,FALSE)))*(1+VLOOKUP(R5,英雄升星数值!$A$3:$G$8,7))+IF(R6=1,英雄装备数值!$D$3*R7*英雄装备数值!$D$44/战力关系!$B$4,IF(R6=2,英雄装备数值!$D$4*R7*英雄装备数值!$D$44/战力关系!$B$4,英雄装备数值!$D$5*R7*英雄装备数值!$D$44/战力关系!$B$4))+VLOOKUP(R8,装备强化数值!$A$2:$B$22,2,FALSE)*R7/3/战力关系!$B$4+IF(R9=1,VLOOKUP(R10,'宠物升级数值-标准单只'!$A$3:$AD$42,10,FALSE),IF(R9=2,VLOOKUP(R10,'宠物升级数值-标准单只'!$A$3:$AD$42,20,FALSE),VLOOKUP(R10,'宠物升级数值-标准单只'!$A$3:$AD$42,30,FALSE)))*(1+VLOOKUP(R11,宠物升阶数值!$A$2:$B$31,2,FALSE))</f>
        <v>6876.1724999999997</v>
      </c>
      <c r="S14" s="48" t="s">
        <v>3</v>
      </c>
      <c r="T14" s="41">
        <f>IF(T3=1,VLOOKUP(T4,英雄升级数值!$H$2:$S$42,4,FALSE),IF(T3=2,VLOOKUP(T4,英雄升级数值!$H$2:$S$42,8,FALSE),VLOOKUP(T4,英雄升级数值!$H$2:$S$42,12,FALSE)))*(1+VLOOKUP(T5,英雄升星数值!$A$3:$G$8,7))+IF(T6=1,英雄装备数值!$D$3*T7*英雄装备数值!$D$44/战力关系!$B$4,IF(T6=2,英雄装备数值!$D$4*T7*英雄装备数值!$D$44/战力关系!$B$4,英雄装备数值!$D$5*T7*英雄装备数值!$D$44/战力关系!$B$4))+VLOOKUP(T8,装备强化数值!$A$2:$B$22,2,FALSE)*T7/3/战力关系!$B$4+IF(T9=1,VLOOKUP(T10,'宠物升级数值-标准单只'!$A$3:$AD$42,10,FALSE),IF(T9=2,VLOOKUP(T10,'宠物升级数值-标准单只'!$A$3:$AD$42,20,FALSE),VLOOKUP(T10,'宠物升级数值-标准单只'!$A$3:$AD$42,30,FALSE)))*(1+VLOOKUP(T11,宠物升阶数值!$A$2:$B$31,2,FALSE))</f>
        <v>8579.9</v>
      </c>
      <c r="U14" s="41" t="s">
        <v>3</v>
      </c>
      <c r="V14" s="41">
        <f>IF(V3=1,VLOOKUP(V4,英雄升级数值!$H$2:$S$42,4,FALSE),IF(V3=2,VLOOKUP(V4,英雄升级数值!$H$2:$S$42,8,FALSE),VLOOKUP(V4,英雄升级数值!$H$2:$S$42,12,FALSE)))*(1+VLOOKUP(V5,英雄升星数值!$A$3:$G$8,7))+IF(V6=1,英雄装备数值!$D$3*V7*英雄装备数值!$D$44/战力关系!$B$4,IF(V6=2,英雄装备数值!$D$4*V7*英雄装备数值!$D$44/战力关系!$B$4,英雄装备数值!$D$5*V7*英雄装备数值!$D$44/战力关系!$B$4))+VLOOKUP(V8,装备强化数值!$A$2:$B$22,2,FALSE)*V7/3/战力关系!$B$4+IF(V9=1,VLOOKUP(V10,'宠物升级数值-标准单只'!$A$3:$AD$42,10,FALSE),IF(V9=2,VLOOKUP(V10,'宠物升级数值-标准单只'!$A$3:$AD$42,20,FALSE),VLOOKUP(V10,'宠物升级数值-标准单只'!$A$3:$AD$42,30,FALSE)))*(1+VLOOKUP(V11,宠物升阶数值!$A$2:$B$31,2,FALSE))</f>
        <v>7991.39</v>
      </c>
      <c r="W14" s="41" t="s">
        <v>3</v>
      </c>
      <c r="X14" s="49">
        <f>IF(X3=1,VLOOKUP(X4,英雄升级数值!$H$2:$S$42,4,FALSE),IF(X3=2,VLOOKUP(X4,英雄升级数值!$H$2:$S$42,8,FALSE),VLOOKUP(X4,英雄升级数值!$H$2:$S$42,12,FALSE)))*(1+VLOOKUP(X5,英雄升星数值!$A$3:$G$8,7))+IF(X6=1,英雄装备数值!$D$3*X7*英雄装备数值!$D$44/战力关系!$B$4,IF(X6=2,英雄装备数值!$D$4*X7*英雄装备数值!$D$44/战力关系!$B$4,英雄装备数值!$D$5*X7*英雄装备数值!$D$44/战力关系!$B$4))+VLOOKUP(X8,装备强化数值!$A$2:$B$22,2,FALSE)*X7/3/战力关系!$B$4+IF(X9=1,VLOOKUP(X10,'宠物升级数值-标准单只'!$A$3:$AD$42,10,FALSE),IF(X9=2,VLOOKUP(X10,'宠物升级数值-标准单只'!$A$3:$AD$42,20,FALSE),VLOOKUP(X10,'宠物升级数值-标准单只'!$A$3:$AD$42,30,FALSE)))*(1+VLOOKUP(X11,宠物升阶数值!$A$2:$B$31,2,FALSE))</f>
        <v>7541.39</v>
      </c>
      <c r="Y14" s="48" t="s">
        <v>3</v>
      </c>
      <c r="Z14" s="41">
        <f>IF(Z3=1,VLOOKUP(Z4,英雄升级数值!$H$2:$S$42,4,FALSE),IF(Z3=2,VLOOKUP(Z4,英雄升级数值!$H$2:$S$42,8,FALSE),VLOOKUP(Z4,英雄升级数值!$H$2:$S$42,12,FALSE)))*(1+VLOOKUP(Z5,英雄升星数值!$A$3:$G$8,7))+IF(Z6=1,英雄装备数值!$D$3*Z7*英雄装备数值!$D$44/战力关系!$B$4,IF(Z6=2,英雄装备数值!$D$4*Z7*英雄装备数值!$D$44/战力关系!$B$4,英雄装备数值!$D$5*Z7*英雄装备数值!$D$44/战力关系!$B$4))+VLOOKUP(Z8,装备强化数值!$A$2:$B$22,2,FALSE)*Z7/3/战力关系!$B$4+IF(Z9=1,VLOOKUP(Z10,'宠物升级数值-标准单只'!$A$3:$AD$42,10,FALSE),IF(Z9=2,VLOOKUP(Z10,'宠物升级数值-标准单只'!$A$3:$AD$42,20,FALSE),VLOOKUP(Z10,'宠物升级数值-标准单只'!$A$3:$AD$42,30,FALSE)))*(1+VLOOKUP(Z11,宠物升阶数值!$A$2:$B$31,2,FALSE))</f>
        <v>9967.7250000000004</v>
      </c>
      <c r="AA14" s="41" t="s">
        <v>3</v>
      </c>
      <c r="AB14" s="41">
        <f>IF(AB3=1,VLOOKUP(AB4,英雄升级数值!$H$2:$S$42,4,FALSE),IF(AB3=2,VLOOKUP(AB4,英雄升级数值!$H$2:$S$42,8,FALSE),VLOOKUP(AB4,英雄升级数值!$H$2:$S$42,12,FALSE)))*(1+VLOOKUP(AB5,英雄升星数值!$A$3:$G$8,7))+IF(AB6=1,英雄装备数值!$D$3*AB7*英雄装备数值!$D$44/战力关系!$B$4,IF(AB6=2,英雄装备数值!$D$4*AB7*英雄装备数值!$D$44/战力关系!$B$4,英雄装备数值!$D$5*AB7*英雄装备数值!$D$44/战力关系!$B$4))+VLOOKUP(AB8,装备强化数值!$A$2:$B$22,2,FALSE)*AB7/3/战力关系!$B$4+IF(AB9=1,VLOOKUP(AB10,'宠物升级数值-标准单只'!$A$3:$AD$42,10,FALSE),IF(AB9=2,VLOOKUP(AB10,'宠物升级数值-标准单只'!$A$3:$AD$42,20,FALSE),VLOOKUP(AB10,'宠物升级数值-标准单只'!$A$3:$AD$42,30,FALSE)))*(1+VLOOKUP(AB11,宠物升阶数值!$A$2:$B$31,2,FALSE))</f>
        <v>8981.91</v>
      </c>
      <c r="AC14" s="41" t="s">
        <v>3</v>
      </c>
      <c r="AD14" s="49">
        <f>IF(AD3=1,VLOOKUP(AD4,英雄升级数值!$H$2:$S$42,4,FALSE),IF(AD3=2,VLOOKUP(AD4,英雄升级数值!$H$2:$S$42,8,FALSE),VLOOKUP(AD4,英雄升级数值!$H$2:$S$42,12,FALSE)))*(1+VLOOKUP(AD5,英雄升星数值!$A$3:$G$8,7))+IF(AD6=1,英雄装备数值!$D$3*AD7*英雄装备数值!$D$44/战力关系!$B$4,IF(AD6=2,英雄装备数值!$D$4*AD7*英雄装备数值!$D$44/战力关系!$B$4,英雄装备数值!$D$5*AD7*英雄装备数值!$D$44/战力关系!$B$4))+VLOOKUP(AD8,装备强化数值!$A$2:$B$22,2,FALSE)*AD7/3/战力关系!$B$4+IF(AD9=1,VLOOKUP(AD10,'宠物升级数值-标准单只'!$A$3:$AD$42,10,FALSE),IF(AD9=2,VLOOKUP(AD10,'宠物升级数值-标准单只'!$A$3:$AD$42,20,FALSE),VLOOKUP(AD10,'宠物升级数值-标准单只'!$A$3:$AD$42,30,FALSE)))*(1+VLOOKUP(AD11,宠物升阶数值!$A$2:$B$31,2,FALSE))</f>
        <v>8572.16</v>
      </c>
      <c r="AE14" s="48" t="s">
        <v>3</v>
      </c>
      <c r="AF14" s="41">
        <f>IF(AF3=1,VLOOKUP(AF4,英雄升级数值!$H$2:$S$42,4,FALSE),IF(AF3=2,VLOOKUP(AF4,英雄升级数值!$H$2:$S$42,8,FALSE),VLOOKUP(AF4,英雄升级数值!$H$2:$S$42,12,FALSE)))*(1+VLOOKUP(AF5,英雄升星数值!$A$3:$G$8,7))+IF(AF6=1,英雄装备数值!$D$3*AF7*英雄装备数值!$D$44/战力关系!$B$4,IF(AF6=2,英雄装备数值!$D$4*AF7*英雄装备数值!$D$44/战力关系!$B$4,英雄装备数值!$D$5*AF7*英雄装备数值!$D$44/战力关系!$B$4))+VLOOKUP(AF8,装备强化数值!$A$2:$B$22,2,FALSE)*AF7/3/战力关系!$B$4+IF(AF9=1,VLOOKUP(AF10,'宠物升级数值-标准单只'!$A$3:$AD$42,10,FALSE),IF(AF9=2,VLOOKUP(AF10,'宠物升级数值-标准单只'!$A$3:$AD$42,20,FALSE),VLOOKUP(AF10,'宠物升级数值-标准单只'!$A$3:$AD$42,30,FALSE)))*(1+VLOOKUP(AF11,宠物升阶数值!$A$2:$B$31,2,FALSE))</f>
        <v>10751.2</v>
      </c>
      <c r="AG14" s="41" t="s">
        <v>3</v>
      </c>
      <c r="AH14" s="41">
        <f>IF(AH3=1,VLOOKUP(AH4,英雄升级数值!$H$2:$S$42,4,FALSE),IF(AH3=2,VLOOKUP(AH4,英雄升级数值!$H$2:$S$42,8,FALSE),VLOOKUP(AH4,英雄升级数值!$H$2:$S$42,12,FALSE)))*(1+VLOOKUP(AH5,英雄升星数值!$A$3:$G$8,7))+IF(AH6=1,英雄装备数值!$D$3*AH7*英雄装备数值!$D$44/战力关系!$B$4,IF(AH6=2,英雄装备数值!$D$4*AH7*英雄装备数值!$D$44/战力关系!$B$4,英雄装备数值!$D$5*AH7*英雄装备数值!$D$44/战力关系!$B$4))+VLOOKUP(AH8,装备强化数值!$A$2:$B$22,2,FALSE)*AH7/3/战力关系!$B$4+IF(AH9=1,VLOOKUP(AH10,'宠物升级数值-标准单只'!$A$3:$AD$42,10,FALSE),IF(AH9=2,VLOOKUP(AH10,'宠物升级数值-标准单只'!$A$3:$AD$42,20,FALSE),VLOOKUP(AH10,'宠物升级数值-标准单只'!$A$3:$AD$42,30,FALSE)))*(1+VLOOKUP(AH11,宠物升阶数值!$A$2:$B$31,2,FALSE))</f>
        <v>10051.200000000001</v>
      </c>
      <c r="AI14" s="41" t="s">
        <v>3</v>
      </c>
      <c r="AJ14" s="49">
        <f>IF(AJ3=1,VLOOKUP(AJ4,英雄升级数值!$H$2:$S$42,4,FALSE),IF(AJ3=2,VLOOKUP(AJ4,英雄升级数值!$H$2:$S$42,8,FALSE),VLOOKUP(AJ4,英雄升级数值!$H$2:$S$42,12,FALSE)))*(1+VLOOKUP(AJ5,英雄升星数值!$A$3:$G$8,7))+IF(AJ6=1,英雄装备数值!$D$3*AJ7*英雄装备数值!$D$44/战力关系!$B$4,IF(AJ6=2,英雄装备数值!$D$4*AJ7*英雄装备数值!$D$44/战力关系!$B$4,英雄装备数值!$D$5*AJ7*英雄装备数值!$D$44/战力关系!$B$4))+VLOOKUP(AJ8,装备强化数值!$A$2:$B$22,2,FALSE)*AJ7/3/战力关系!$B$4+IF(AJ9=1,VLOOKUP(AJ10,'宠物升级数值-标准单只'!$A$3:$AD$42,10,FALSE),IF(AJ9=2,VLOOKUP(AJ10,'宠物升级数值-标准单只'!$A$3:$AD$42,20,FALSE),VLOOKUP(AJ10,'宠物升级数值-标准单只'!$A$3:$AD$42,30,FALSE)))*(1+VLOOKUP(AJ11,宠物升阶数值!$A$2:$B$31,2,FALSE))</f>
        <v>9461.52</v>
      </c>
      <c r="AK14" s="48" t="s">
        <v>3</v>
      </c>
      <c r="AL14" s="41">
        <f>IF(AL3=1,VLOOKUP(AL4,英雄升级数值!$H$2:$S$42,4,FALSE),IF(AL3=2,VLOOKUP(AL4,英雄升级数值!$H$2:$S$42,8,FALSE),VLOOKUP(AL4,英雄升级数值!$H$2:$S$42,12,FALSE)))*(1+VLOOKUP(AL5,英雄升星数值!$A$3:$G$8,7))+IF(AL6=1,英雄装备数值!$D$3*AL7*英雄装备数值!$D$44/战力关系!$B$4,IF(AL6=2,英雄装备数值!$D$4*AL7*英雄装备数值!$D$44/战力关系!$B$4,英雄装备数值!$D$5*AL7*英雄装备数值!$D$44/战力关系!$B$4))+VLOOKUP(AL8,装备强化数值!$A$2:$B$22,2,FALSE)*AL7/3/战力关系!$B$4+IF(AL9=1,VLOOKUP(AL10,'宠物升级数值-标准单只'!$A$3:$AD$42,10,FALSE),IF(AL9=2,VLOOKUP(AL10,'宠物升级数值-标准单只'!$A$3:$AD$42,20,FALSE),VLOOKUP(AL10,'宠物升级数值-标准单只'!$A$3:$AD$42,30,FALSE)))*(1+VLOOKUP(AL11,宠物升阶数值!$A$2:$B$31,2,FALSE))</f>
        <v>11526.55</v>
      </c>
      <c r="AM14" s="41" t="s">
        <v>3</v>
      </c>
      <c r="AN14" s="41">
        <f>IF(AN3=1,VLOOKUP(AN4,英雄升级数值!$H$2:$S$42,4,FALSE),IF(AN3=2,VLOOKUP(AN4,英雄升级数值!$H$2:$S$42,8,FALSE),VLOOKUP(AN4,英雄升级数值!$H$2:$S$42,12,FALSE)))*(1+VLOOKUP(AN5,英雄升星数值!$A$3:$G$8,7))+IF(AN6=1,英雄装备数值!$D$3*AN7*英雄装备数值!$D$44/战力关系!$B$4,IF(AN6=2,英雄装备数值!$D$4*AN7*英雄装备数值!$D$44/战力关系!$B$4,英雄装备数值!$D$5*AN7*英雄装备数值!$D$44/战力关系!$B$4))+VLOOKUP(AN8,装备强化数值!$A$2:$B$22,2,FALSE)*AN7/3/战力关系!$B$4+IF(AN9=1,VLOOKUP(AN10,'宠物升级数值-标准单只'!$A$3:$AD$42,10,FALSE),IF(AN9=2,VLOOKUP(AN10,'宠物升级数值-标准单只'!$A$3:$AD$42,20,FALSE),VLOOKUP(AN10,'宠物升级数值-标准单只'!$A$3:$AD$42,30,FALSE)))*(1+VLOOKUP(AN11,宠物升阶数值!$A$2:$B$31,2,FALSE))</f>
        <v>11526.55</v>
      </c>
      <c r="AO14" s="41" t="s">
        <v>3</v>
      </c>
      <c r="AP14" s="49">
        <f>IF(AP3=1,VLOOKUP(AP4,英雄升级数值!$H$2:$S$42,4,FALSE),IF(AP3=2,VLOOKUP(AP4,英雄升级数值!$H$2:$S$42,8,FALSE),VLOOKUP(AP4,英雄升级数值!$H$2:$S$42,12,FALSE)))*(1+VLOOKUP(AP5,英雄升星数值!$A$3:$G$8,7))+IF(AP6=1,英雄装备数值!$D$3*AP7*英雄装备数值!$D$44/战力关系!$B$4,IF(AP6=2,英雄装备数值!$D$4*AP7*英雄装备数值!$D$44/战力关系!$B$4,英雄装备数值!$D$5*AP7*英雄装备数值!$D$44/战力关系!$B$4))+VLOOKUP(AP8,装备强化数值!$A$2:$B$22,2,FALSE)*AP7/3/战力关系!$B$4+IF(AP9=1,VLOOKUP(AP10,'宠物升级数值-标准单只'!$A$3:$AD$42,10,FALSE),IF(AP9=2,VLOOKUP(AP10,'宠物升级数值-标准单只'!$A$3:$AD$42,20,FALSE),VLOOKUP(AP10,'宠物升级数值-标准单只'!$A$3:$AD$42,30,FALSE)))*(1+VLOOKUP(AP11,宠物升阶数值!$A$2:$B$31,2,FALSE))</f>
        <v>10889.8</v>
      </c>
    </row>
    <row r="15" spans="1:42" x14ac:dyDescent="0.3">
      <c r="A15" s="48" t="s">
        <v>4</v>
      </c>
      <c r="B15" s="41">
        <f>IF(B3=1,VLOOKUP(B5,英雄升星数值!$A$3:$U$8,3,FALSE),IF(B3=2,VLOOKUP(B5,英雄升星数值!$A$3:$U$8,10,FALSE),VLOOKUP(B5,英雄升星数值!$A$3:$U$8,17,FALSE)))+IF(B6=1,英雄装备数值!$D$3*B7*英雄装备数值!$D$45/战力关系!$B$5,IF(B6=2,英雄装备数值!$D$4*B7*英雄装备数值!$D$45/战力关系!$B$5,英雄装备数值!$D$5*B7*英雄装备数值!$D$45/战力关系!$B$5))</f>
        <v>48</v>
      </c>
      <c r="C15" s="41" t="s">
        <v>4</v>
      </c>
      <c r="D15" s="41">
        <f>IF(D3=1,VLOOKUP(D5,英雄升星数值!$A$3:$U$8,3,FALSE),IF(D3=2,VLOOKUP(D5,英雄升星数值!$A$3:$U$8,10,FALSE),VLOOKUP(D5,英雄升星数值!$A$3:$U$8,17,FALSE)))+IF(D6=1,英雄装备数值!$D$3*D7*英雄装备数值!$D$45/战力关系!$B$5,IF(D6=2,英雄装备数值!$D$4*D7*英雄装备数值!$D$45/战力关系!$B$5,英雄装备数值!$D$5*D7*英雄装备数值!$D$45/战力关系!$B$5))</f>
        <v>37.5</v>
      </c>
      <c r="E15" s="41" t="s">
        <v>4</v>
      </c>
      <c r="F15" s="49">
        <f>IF(F3=1,VLOOKUP(F5,英雄升星数值!$A$3:$U$8,3,FALSE),IF(F3=2,VLOOKUP(F5,英雄升星数值!$A$3:$U$8,10,FALSE),VLOOKUP(F5,英雄升星数值!$A$3:$U$8,17,FALSE)))+IF(F6=1,英雄装备数值!$D$3*F7*英雄装备数值!$D$45/战力关系!$B$5,IF(F6=2,英雄装备数值!$D$4*F7*英雄装备数值!$D$45/战力关系!$B$5,英雄装备数值!$D$5*F7*英雄装备数值!$D$45/战力关系!$B$5))</f>
        <v>60.25</v>
      </c>
      <c r="G15" s="45" t="s">
        <v>4</v>
      </c>
      <c r="H15" s="41">
        <f>IF(H3=1,VLOOKUP(H5,英雄升星数值!$A$3:$U$8,3,FALSE),IF(H3=2,VLOOKUP(H5,英雄升星数值!$A$3:$U$8,10,FALSE),VLOOKUP(H5,英雄升星数值!$A$3:$U$8,17,FALSE)))+IF(H6=1,英雄装备数值!$D$3*H7*英雄装备数值!$D$45/战力关系!$B$5,IF(H6=2,英雄装备数值!$D$4*H7*英雄装备数值!$D$45/战力关系!$B$5,英雄装备数值!$D$5*H7*英雄装备数值!$D$45/战力关系!$B$5))</f>
        <v>84</v>
      </c>
      <c r="I15" s="41" t="s">
        <v>4</v>
      </c>
      <c r="J15" s="41">
        <f>IF(J3=1,VLOOKUP(J5,英雄升星数值!$A$3:$U$8,3,FALSE),IF(J3=2,VLOOKUP(J5,英雄升星数值!$A$3:$U$8,10,FALSE),VLOOKUP(J5,英雄升星数值!$A$3:$U$8,17,FALSE)))+IF(J6=1,英雄装备数值!$D$3*J7*英雄装备数值!$D$45/战力关系!$B$5,IF(J6=2,英雄装备数值!$D$4*J7*英雄装备数值!$D$45/战力关系!$B$5,英雄装备数值!$D$5*J7*英雄装备数值!$D$45/战力关系!$B$5))</f>
        <v>80</v>
      </c>
      <c r="K15" s="41" t="s">
        <v>4</v>
      </c>
      <c r="L15" s="49">
        <f>IF(L3=1,VLOOKUP(L5,英雄升星数值!$A$3:$U$8,3,FALSE),IF(L3=2,VLOOKUP(L5,英雄升星数值!$A$3:$U$8,10,FALSE),VLOOKUP(L5,英雄升星数值!$A$3:$U$8,17,FALSE)))+IF(L6=1,英雄装备数值!$D$3*L7*英雄装备数值!$D$45/战力关系!$B$5,IF(L6=2,英雄装备数值!$D$4*L7*英雄装备数值!$D$45/战力关系!$B$5,英雄装备数值!$D$5*L7*英雄装备数值!$D$45/战力关系!$B$5))</f>
        <v>64.25</v>
      </c>
      <c r="M15" s="48" t="s">
        <v>4</v>
      </c>
      <c r="N15" s="41">
        <f>IF(N3=1,VLOOKUP(N5,英雄升星数值!$A$3:$U$8,3,FALSE),IF(N3=2,VLOOKUP(N5,英雄升星数值!$A$3:$U$8,10,FALSE),VLOOKUP(N5,英雄升星数值!$A$3:$U$8,17,FALSE)))+IF(N6=1,英雄装备数值!$D$3*N7*英雄装备数值!$D$45/战力关系!$B$5,IF(N6=2,英雄装备数值!$D$4*N7*英雄装备数值!$D$45/战力关系!$B$5,英雄装备数值!$D$5*N7*英雄装备数值!$D$45/战力关系!$B$5))</f>
        <v>102</v>
      </c>
      <c r="O15" s="41" t="s">
        <v>4</v>
      </c>
      <c r="P15" s="41">
        <f>IF(P3=1,VLOOKUP(P5,英雄升星数值!$A$3:$U$8,3,FALSE),IF(P3=2,VLOOKUP(P5,英雄升星数值!$A$3:$U$8,10,FALSE),VLOOKUP(P5,英雄升星数值!$A$3:$U$8,17,FALSE)))+IF(P6=1,英雄装备数值!$D$3*P7*英雄装备数值!$D$45/战力关系!$B$5,IF(P6=2,英雄装备数值!$D$4*P7*英雄装备数值!$D$45/战力关系!$B$5,英雄装备数值!$D$5*P7*英雄装备数值!$D$45/战力关系!$B$5))</f>
        <v>102</v>
      </c>
      <c r="Q15" s="41" t="s">
        <v>4</v>
      </c>
      <c r="R15" s="49">
        <f>IF(R3=1,VLOOKUP(R5,英雄升星数值!$A$3:$U$8,3,FALSE),IF(R3=2,VLOOKUP(R5,英雄升星数值!$A$3:$U$8,10,FALSE),VLOOKUP(R5,英雄升星数值!$A$3:$U$8,17,FALSE)))+IF(R6=1,英雄装备数值!$D$3*R7*英雄装备数值!$D$45/战力关系!$B$5,IF(R6=2,英雄装备数值!$D$4*R7*英雄装备数值!$D$45/战力关系!$B$5,英雄装备数值!$D$5*R7*英雄装备数值!$D$45/战力关系!$B$5))</f>
        <v>92</v>
      </c>
      <c r="S15" s="48" t="s">
        <v>4</v>
      </c>
      <c r="T15" s="41">
        <f>IF(T3=1,VLOOKUP(T5,英雄升星数值!$A$3:$U$8,3,FALSE),IF(T3=2,VLOOKUP(T5,英雄升星数值!$A$3:$U$8,10,FALSE),VLOOKUP(T5,英雄升星数值!$A$3:$U$8,17,FALSE)))+IF(T6=1,英雄装备数值!$D$3*T7*英雄装备数值!$D$45/战力关系!$B$5,IF(T6=2,英雄装备数值!$D$4*T7*英雄装备数值!$D$45/战力关系!$B$5,英雄装备数值!$D$5*T7*英雄装备数值!$D$45/战力关系!$B$5))</f>
        <v>126</v>
      </c>
      <c r="U15" s="41" t="s">
        <v>4</v>
      </c>
      <c r="V15" s="41">
        <f>IF(V3=1,VLOOKUP(V5,英雄升星数值!$A$3:$U$8,3,FALSE),IF(V3=2,VLOOKUP(V5,英雄升星数值!$A$3:$U$8,10,FALSE),VLOOKUP(V5,英雄升星数值!$A$3:$U$8,17,FALSE)))+IF(V6=1,英雄装备数值!$D$3*V7*英雄装备数值!$D$45/战力关系!$B$5,IF(V6=2,英雄装备数值!$D$4*V7*英雄装备数值!$D$45/战力关系!$B$5,英雄装备数值!$D$5*V7*英雄装备数值!$D$45/战力关系!$B$5))</f>
        <v>102</v>
      </c>
      <c r="W15" s="41" t="s">
        <v>4</v>
      </c>
      <c r="X15" s="49">
        <f>IF(X3=1,VLOOKUP(X5,英雄升星数值!$A$3:$U$8,3,FALSE),IF(X3=2,VLOOKUP(X5,英雄升星数值!$A$3:$U$8,10,FALSE),VLOOKUP(X5,英雄升星数值!$A$3:$U$8,17,FALSE)))+IF(X6=1,英雄装备数值!$D$3*X7*英雄装备数值!$D$45/战力关系!$B$5,IF(X6=2,英雄装备数值!$D$4*X7*英雄装备数值!$D$45/战力关系!$B$5,英雄装备数值!$D$5*X7*英雄装备数值!$D$45/战力关系!$B$5))</f>
        <v>92</v>
      </c>
      <c r="Y15" s="48" t="s">
        <v>4</v>
      </c>
      <c r="Z15" s="41">
        <f>IF(Z3=1,VLOOKUP(Z5,英雄升星数值!$A$3:$U$8,3,FALSE),IF(Z3=2,VLOOKUP(Z5,英雄升星数值!$A$3:$U$8,10,FALSE),VLOOKUP(Z5,英雄升星数值!$A$3:$U$8,17,FALSE)))+IF(Z6=1,英雄装备数值!$D$3*Z7*英雄装备数值!$D$45/战力关系!$B$5,IF(Z6=2,英雄装备数值!$D$4*Z7*英雄装备数值!$D$45/战力关系!$B$5,英雄装备数值!$D$5*Z7*英雄装备数值!$D$45/战力关系!$B$5))</f>
        <v>136</v>
      </c>
      <c r="AA15" s="41" t="s">
        <v>4</v>
      </c>
      <c r="AB15" s="41">
        <f>IF(AB3=1,VLOOKUP(AB5,英雄升星数值!$A$3:$U$8,3,FALSE),IF(AB3=2,VLOOKUP(AB5,英雄升星数值!$A$3:$U$8,10,FALSE),VLOOKUP(AB5,英雄升星数值!$A$3:$U$8,17,FALSE)))+IF(AB6=1,英雄装备数值!$D$3*AB7*英雄装备数值!$D$45/战力关系!$B$5,IF(AB6=2,英雄装备数值!$D$4*AB7*英雄装备数值!$D$45/战力关系!$B$5,英雄装备数值!$D$5*AB7*英雄装备数值!$D$45/战力关系!$B$5))</f>
        <v>126</v>
      </c>
      <c r="AC15" s="41" t="s">
        <v>4</v>
      </c>
      <c r="AD15" s="49">
        <f>IF(AD3=1,VLOOKUP(AD5,英雄升星数值!$A$3:$U$8,3,FALSE),IF(AD3=2,VLOOKUP(AD5,英雄升星数值!$A$3:$U$8,10,FALSE),VLOOKUP(AD5,英雄升星数值!$A$3:$U$8,17,FALSE)))+IF(AD6=1,英雄装备数值!$D$3*AD7*英雄装备数值!$D$45/战力关系!$B$5,IF(AD6=2,英雄装备数值!$D$4*AD7*英雄装备数值!$D$45/战力关系!$B$5,英雄装备数值!$D$5*AD7*英雄装备数值!$D$45/战力关系!$B$5))</f>
        <v>102</v>
      </c>
      <c r="AE15" s="48" t="s">
        <v>4</v>
      </c>
      <c r="AF15" s="41">
        <f>IF(AF3=1,VLOOKUP(AF5,英雄升星数值!$A$3:$U$8,3,FALSE),IF(AF3=2,VLOOKUP(AF5,英雄升星数值!$A$3:$U$8,10,FALSE),VLOOKUP(AF5,英雄升星数值!$A$3:$U$8,17,FALSE)))+IF(AF6=1,英雄装备数值!$D$3*AF7*英雄装备数值!$D$45/战力关系!$B$5,IF(AF6=2,英雄装备数值!$D$4*AF7*英雄装备数值!$D$45/战力关系!$B$5,英雄装备数值!$D$5*AF7*英雄装备数值!$D$45/战力关系!$B$5))</f>
        <v>136</v>
      </c>
      <c r="AG15" s="41" t="s">
        <v>4</v>
      </c>
      <c r="AH15" s="41">
        <f>IF(AH3=1,VLOOKUP(AH5,英雄升星数值!$A$3:$U$8,3,FALSE),IF(AH3=2,VLOOKUP(AH5,英雄升星数值!$A$3:$U$8,10,FALSE),VLOOKUP(AH5,英雄升星数值!$A$3:$U$8,17,FALSE)))+IF(AH6=1,英雄装备数值!$D$3*AH7*英雄装备数值!$D$45/战力关系!$B$5,IF(AH6=2,英雄装备数值!$D$4*AH7*英雄装备数值!$D$45/战力关系!$B$5,英雄装备数值!$D$5*AH7*英雄装备数值!$D$45/战力关系!$B$5))</f>
        <v>126</v>
      </c>
      <c r="AI15" s="41" t="s">
        <v>4</v>
      </c>
      <c r="AJ15" s="49">
        <f>IF(AJ3=1,VLOOKUP(AJ5,英雄升星数值!$A$3:$U$8,3,FALSE),IF(AJ3=2,VLOOKUP(AJ5,英雄升星数值!$A$3:$U$8,10,FALSE),VLOOKUP(AJ5,英雄升星数值!$A$3:$U$8,17,FALSE)))+IF(AJ6=1,英雄装备数值!$D$3*AJ7*英雄装备数值!$D$45/战力关系!$B$5,IF(AJ6=2,英雄装备数值!$D$4*AJ7*英雄装备数值!$D$45/战力关系!$B$5,英雄装备数值!$D$5*AJ7*英雄装备数值!$D$45/战力关系!$B$5))</f>
        <v>126</v>
      </c>
      <c r="AK15" s="48" t="s">
        <v>4</v>
      </c>
      <c r="AL15" s="41">
        <f>IF(AL3=1,VLOOKUP(AL5,英雄升星数值!$A$3:$U$8,3,FALSE),IF(AL3=2,VLOOKUP(AL5,英雄升星数值!$A$3:$U$8,10,FALSE),VLOOKUP(AL5,英雄升星数值!$A$3:$U$8,17,FALSE)))+IF(AL6=1,英雄装备数值!$D$3*AL7*英雄装备数值!$D$45/战力关系!$B$5,IF(AL6=2,英雄装备数值!$D$4*AL7*英雄装备数值!$D$45/战力关系!$B$5,英雄装备数值!$D$5*AL7*英雄装备数值!$D$45/战力关系!$B$5))</f>
        <v>160</v>
      </c>
      <c r="AM15" s="41" t="s">
        <v>4</v>
      </c>
      <c r="AN15" s="41">
        <f>IF(AN3=1,VLOOKUP(AN5,英雄升星数值!$A$3:$U$8,3,FALSE),IF(AN3=2,VLOOKUP(AN5,英雄升星数值!$A$3:$U$8,10,FALSE),VLOOKUP(AN5,英雄升星数值!$A$3:$U$8,17,FALSE)))+IF(AN6=1,英雄装备数值!$D$3*AN7*英雄装备数值!$D$45/战力关系!$B$5,IF(AN6=2,英雄装备数值!$D$4*AN7*英雄装备数值!$D$45/战力关系!$B$5,英雄装备数值!$D$5*AN7*英雄装备数值!$D$45/战力关系!$B$5))</f>
        <v>160</v>
      </c>
      <c r="AO15" s="41" t="s">
        <v>4</v>
      </c>
      <c r="AP15" s="49">
        <f>IF(AP3=1,VLOOKUP(AP5,英雄升星数值!$A$3:$U$8,3,FALSE),IF(AP3=2,VLOOKUP(AP5,英雄升星数值!$A$3:$U$8,10,FALSE),VLOOKUP(AP5,英雄升星数值!$A$3:$U$8,17,FALSE)))+IF(AP6=1,英雄装备数值!$D$3*AP7*英雄装备数值!$D$45/战力关系!$B$5,IF(AP6=2,英雄装备数值!$D$4*AP7*英雄装备数值!$D$45/战力关系!$B$5,英雄装备数值!$D$5*AP7*英雄装备数值!$D$45/战力关系!$B$5))</f>
        <v>126</v>
      </c>
    </row>
    <row r="16" spans="1:42" x14ac:dyDescent="0.3">
      <c r="A16" s="48" t="s">
        <v>5</v>
      </c>
      <c r="B16" s="41">
        <f>IF(B3=1,VLOOKUP(B5,英雄升星数值!$A$3:$U$8,4,FALSE),IF(B3=2,VLOOKUP(B5,英雄升星数值!$A$3:$U$8,11,FALSE),VLOOKUP(B5,英雄升星数值!$A$3:$U$8,18,FALSE)))+IF(B6=1,英雄装备数值!$D$3*B7*英雄装备数值!$D$46/战力关系!$B$6,IF(B6=2,英雄装备数值!$D$4*B7*英雄装备数值!$D$46/战力关系!$B$6,英雄装备数值!$D$5*B7*英雄装备数值!$D$46/战力关系!$B$6))</f>
        <v>48</v>
      </c>
      <c r="C16" s="41" t="s">
        <v>5</v>
      </c>
      <c r="D16" s="41">
        <f>IF(D3=1,VLOOKUP(D5,英雄升星数值!$A$3:$U$8,4,FALSE),IF(D3=2,VLOOKUP(D5,英雄升星数值!$A$3:$U$8,11,FALSE),VLOOKUP(D5,英雄升星数值!$A$3:$U$8,18,FALSE)))+IF(D6=1,英雄装备数值!$D$3*D7*英雄装备数值!$D$46/战力关系!$B$6,IF(D6=2,英雄装备数值!$D$4*D7*英雄装备数值!$D$46/战力关系!$B$6,英雄装备数值!$D$5*D7*英雄装备数值!$D$46/战力关系!$B$6))</f>
        <v>37.5</v>
      </c>
      <c r="E16" s="41" t="s">
        <v>5</v>
      </c>
      <c r="F16" s="49">
        <f>IF(F3=1,VLOOKUP(F5,英雄升星数值!$A$3:$U$8,4,FALSE),IF(F3=2,VLOOKUP(F5,英雄升星数值!$A$3:$U$8,11,FALSE),VLOOKUP(F5,英雄升星数值!$A$3:$U$8,18,FALSE)))+IF(F6=1,英雄装备数值!$D$3*F7*英雄装备数值!$D$46/战力关系!$B$6,IF(F6=2,英雄装备数值!$D$4*F7*英雄装备数值!$D$46/战力关系!$B$6,英雄装备数值!$D$5*F7*英雄装备数值!$D$46/战力关系!$B$6))</f>
        <v>59.45</v>
      </c>
      <c r="G16" s="45" t="s">
        <v>5</v>
      </c>
      <c r="H16" s="41">
        <f>IF(H3=1,VLOOKUP(H5,英雄升星数值!$A$3:$U$8,4,FALSE),IF(H3=2,VLOOKUP(H5,英雄升星数值!$A$3:$U$8,11,FALSE),VLOOKUP(H5,英雄升星数值!$A$3:$U$8,18,FALSE)))+IF(H6=1,英雄装备数值!$D$3*H7*英雄装备数值!$D$46/战力关系!$B$6,IF(H6=2,英雄装备数值!$D$4*H7*英雄装备数值!$D$46/战力关系!$B$6,英雄装备数值!$D$5*H7*英雄装备数值!$D$46/战力关系!$B$6))</f>
        <v>81.599999999999994</v>
      </c>
      <c r="I16" s="41" t="s">
        <v>5</v>
      </c>
      <c r="J16" s="41">
        <f>IF(J3=1,VLOOKUP(J5,英雄升星数值!$A$3:$U$8,4,FALSE),IF(J3=2,VLOOKUP(J5,英雄升星数值!$A$3:$U$8,11,FALSE),VLOOKUP(J5,英雄升星数值!$A$3:$U$8,18,FALSE)))+IF(J6=1,英雄装备数值!$D$3*J7*英雄装备数值!$D$46/战力关系!$B$6,IF(J6=2,英雄装备数值!$D$4*J7*英雄装备数值!$D$46/战力关系!$B$6,英雄装备数值!$D$5*J7*英雄装备数值!$D$46/战力关系!$B$6))</f>
        <v>78.400000000000006</v>
      </c>
      <c r="K16" s="41" t="s">
        <v>5</v>
      </c>
      <c r="L16" s="49">
        <f>IF(L3=1,VLOOKUP(L5,英雄升星数值!$A$3:$U$8,4,FALSE),IF(L3=2,VLOOKUP(L5,英雄升星数值!$A$3:$U$8,11,FALSE),VLOOKUP(L5,英雄升星数值!$A$3:$U$8,18,FALSE)))+IF(L6=1,英雄装备数值!$D$3*L7*英雄装备数值!$D$46/战力关系!$B$6,IF(L6=2,英雄装备数值!$D$4*L7*英雄装备数值!$D$46/战力关系!$B$6,英雄装备数值!$D$5*L7*英雄装备数值!$D$46/战力关系!$B$6))</f>
        <v>62.65</v>
      </c>
      <c r="M16" s="48" t="s">
        <v>5</v>
      </c>
      <c r="N16" s="41">
        <f>IF(N3=1,VLOOKUP(N5,英雄升星数值!$A$3:$U$8,4,FALSE),IF(N3=2,VLOOKUP(N5,英雄升星数值!$A$3:$U$8,11,FALSE),VLOOKUP(N5,英雄升星数值!$A$3:$U$8,18,FALSE)))+IF(N6=1,英雄装备数值!$D$3*N7*英雄装备数值!$D$46/战力关系!$B$6,IF(N6=2,英雄装备数值!$D$4*N7*英雄装备数值!$D$46/战力关系!$B$6,英雄装备数值!$D$5*N7*英雄装备数值!$D$46/战力关系!$B$6))</f>
        <v>96</v>
      </c>
      <c r="O16" s="41" t="s">
        <v>5</v>
      </c>
      <c r="P16" s="41">
        <f>IF(P3=1,VLOOKUP(P5,英雄升星数值!$A$3:$U$8,4,FALSE),IF(P3=2,VLOOKUP(P5,英雄升星数值!$A$3:$U$8,11,FALSE),VLOOKUP(P5,英雄升星数值!$A$3:$U$8,18,FALSE)))+IF(P6=1,英雄装备数值!$D$3*P7*英雄装备数值!$D$46/战力关系!$B$6,IF(P6=2,英雄装备数值!$D$4*P7*英雄装备数值!$D$46/战力关系!$B$6,英雄装备数值!$D$5*P7*英雄装备数值!$D$46/战力关系!$B$6))</f>
        <v>96</v>
      </c>
      <c r="Q16" s="41" t="s">
        <v>5</v>
      </c>
      <c r="R16" s="49">
        <f>IF(R3=1,VLOOKUP(R5,英雄升星数值!$A$3:$U$8,4,FALSE),IF(R3=2,VLOOKUP(R5,英雄升星数值!$A$3:$U$8,11,FALSE),VLOOKUP(R5,英雄升星数值!$A$3:$U$8,18,FALSE)))+IF(R6=1,英雄装备数值!$D$3*R7*英雄装备数值!$D$46/战力关系!$B$6,IF(R6=2,英雄装备数值!$D$4*R7*英雄装备数值!$D$46/战力关系!$B$6,英雄装备数值!$D$5*R7*英雄装备数值!$D$46/战力关系!$B$6))</f>
        <v>88</v>
      </c>
      <c r="S16" s="48" t="s">
        <v>5</v>
      </c>
      <c r="T16" s="41">
        <f>IF(T3=1,VLOOKUP(T5,英雄升星数值!$A$3:$U$8,4,FALSE),IF(T3=2,VLOOKUP(T5,英雄升星数值!$A$3:$U$8,11,FALSE),VLOOKUP(T5,英雄升星数值!$A$3:$U$8,18,FALSE)))+IF(T6=1,英雄装备数值!$D$3*T7*英雄装备数值!$D$46/战力关系!$B$6,IF(T6=2,英雄装备数值!$D$4*T7*英雄装备数值!$D$46/战力关系!$B$6,英雄装备数值!$D$5*T7*英雄装备数值!$D$46/战力关系!$B$6))</f>
        <v>120</v>
      </c>
      <c r="U16" s="41" t="s">
        <v>5</v>
      </c>
      <c r="V16" s="41">
        <f>IF(V3=1,VLOOKUP(V5,英雄升星数值!$A$3:$U$8,4,FALSE),IF(V3=2,VLOOKUP(V5,英雄升星数值!$A$3:$U$8,11,FALSE),VLOOKUP(V5,英雄升星数值!$A$3:$U$8,18,FALSE)))+IF(V6=1,英雄装备数值!$D$3*V7*英雄装备数值!$D$46/战力关系!$B$6,IF(V6=2,英雄装备数值!$D$4*V7*英雄装备数值!$D$46/战力关系!$B$6,英雄装备数值!$D$5*V7*英雄装备数值!$D$46/战力关系!$B$6))</f>
        <v>96</v>
      </c>
      <c r="W16" s="41" t="s">
        <v>5</v>
      </c>
      <c r="X16" s="49">
        <f>IF(X3=1,VLOOKUP(X5,英雄升星数值!$A$3:$U$8,4,FALSE),IF(X3=2,VLOOKUP(X5,英雄升星数值!$A$3:$U$8,11,FALSE),VLOOKUP(X5,英雄升星数值!$A$3:$U$8,18,FALSE)))+IF(X6=1,英雄装备数值!$D$3*X7*英雄装备数值!$D$46/战力关系!$B$6,IF(X6=2,英雄装备数值!$D$4*X7*英雄装备数值!$D$46/战力关系!$B$6,英雄装备数值!$D$5*X7*英雄装备数值!$D$46/战力关系!$B$6))</f>
        <v>88</v>
      </c>
      <c r="Y16" s="48" t="s">
        <v>5</v>
      </c>
      <c r="Z16" s="41">
        <f>IF(Z3=1,VLOOKUP(Z5,英雄升星数值!$A$3:$U$8,4,FALSE),IF(Z3=2,VLOOKUP(Z5,英雄升星数值!$A$3:$U$8,11,FALSE),VLOOKUP(Z5,英雄升星数值!$A$3:$U$8,18,FALSE)))+IF(Z6=1,英雄装备数值!$D$3*Z7*英雄装备数值!$D$46/战力关系!$B$6,IF(Z6=2,英雄装备数值!$D$4*Z7*英雄装备数值!$D$46/战力关系!$B$6,英雄装备数值!$D$5*Z7*英雄装备数值!$D$46/战力关系!$B$6))</f>
        <v>128</v>
      </c>
      <c r="AA16" s="41" t="s">
        <v>5</v>
      </c>
      <c r="AB16" s="41">
        <f>IF(AB3=1,VLOOKUP(AB5,英雄升星数值!$A$3:$U$8,4,FALSE),IF(AB3=2,VLOOKUP(AB5,英雄升星数值!$A$3:$U$8,11,FALSE),VLOOKUP(AB5,英雄升星数值!$A$3:$U$8,18,FALSE)))+IF(AB6=1,英雄装备数值!$D$3*AB7*英雄装备数值!$D$46/战力关系!$B$6,IF(AB6=2,英雄装备数值!$D$4*AB7*英雄装备数值!$D$46/战力关系!$B$6,英雄装备数值!$D$5*AB7*英雄装备数值!$D$46/战力关系!$B$6))</f>
        <v>120</v>
      </c>
      <c r="AC16" s="41" t="s">
        <v>5</v>
      </c>
      <c r="AD16" s="49">
        <f>IF(AD3=1,VLOOKUP(AD5,英雄升星数值!$A$3:$U$8,4,FALSE),IF(AD3=2,VLOOKUP(AD5,英雄升星数值!$A$3:$U$8,11,FALSE),VLOOKUP(AD5,英雄升星数值!$A$3:$U$8,18,FALSE)))+IF(AD6=1,英雄装备数值!$D$3*AD7*英雄装备数值!$D$46/战力关系!$B$6,IF(AD6=2,英雄装备数值!$D$4*AD7*英雄装备数值!$D$46/战力关系!$B$6,英雄装备数值!$D$5*AD7*英雄装备数值!$D$46/战力关系!$B$6))</f>
        <v>96</v>
      </c>
      <c r="AE16" s="48" t="s">
        <v>5</v>
      </c>
      <c r="AF16" s="41">
        <f>IF(AF3=1,VLOOKUP(AF5,英雄升星数值!$A$3:$U$8,4,FALSE),IF(AF3=2,VLOOKUP(AF5,英雄升星数值!$A$3:$U$8,11,FALSE),VLOOKUP(AF5,英雄升星数值!$A$3:$U$8,18,FALSE)))+IF(AF6=1,英雄装备数值!$D$3*AF7*英雄装备数值!$D$46/战力关系!$B$6,IF(AF6=2,英雄装备数值!$D$4*AF7*英雄装备数值!$D$46/战力关系!$B$6,英雄装备数值!$D$5*AF7*英雄装备数值!$D$46/战力关系!$B$6))</f>
        <v>128</v>
      </c>
      <c r="AG16" s="41" t="s">
        <v>5</v>
      </c>
      <c r="AH16" s="41">
        <f>IF(AH3=1,VLOOKUP(AH5,英雄升星数值!$A$3:$U$8,4,FALSE),IF(AH3=2,VLOOKUP(AH5,英雄升星数值!$A$3:$U$8,11,FALSE),VLOOKUP(AH5,英雄升星数值!$A$3:$U$8,18,FALSE)))+IF(AH6=1,英雄装备数值!$D$3*AH7*英雄装备数值!$D$46/战力关系!$B$6,IF(AH6=2,英雄装备数值!$D$4*AH7*英雄装备数值!$D$46/战力关系!$B$6,英雄装备数值!$D$5*AH7*英雄装备数值!$D$46/战力关系!$B$6))</f>
        <v>120</v>
      </c>
      <c r="AI16" s="41" t="s">
        <v>5</v>
      </c>
      <c r="AJ16" s="49">
        <f>IF(AJ3=1,VLOOKUP(AJ5,英雄升星数值!$A$3:$U$8,4,FALSE),IF(AJ3=2,VLOOKUP(AJ5,英雄升星数值!$A$3:$U$8,11,FALSE),VLOOKUP(AJ5,英雄升星数值!$A$3:$U$8,18,FALSE)))+IF(AJ6=1,英雄装备数值!$D$3*AJ7*英雄装备数值!$D$46/战力关系!$B$6,IF(AJ6=2,英雄装备数值!$D$4*AJ7*英雄装备数值!$D$46/战力关系!$B$6,英雄装备数值!$D$5*AJ7*英雄装备数值!$D$46/战力关系!$B$6))</f>
        <v>120</v>
      </c>
      <c r="AK16" s="48" t="s">
        <v>5</v>
      </c>
      <c r="AL16" s="41">
        <f>IF(AL3=1,VLOOKUP(AL5,英雄升星数值!$A$3:$U$8,4,FALSE),IF(AL3=2,VLOOKUP(AL5,英雄升星数值!$A$3:$U$8,11,FALSE),VLOOKUP(AL5,英雄升星数值!$A$3:$U$8,18,FALSE)))+IF(AL6=1,英雄装备数值!$D$3*AL7*英雄装备数值!$D$46/战力关系!$B$6,IF(AL6=2,英雄装备数值!$D$4*AL7*英雄装备数值!$D$46/战力关系!$B$6,英雄装备数值!$D$5*AL7*英雄装备数值!$D$46/战力关系!$B$6))</f>
        <v>152</v>
      </c>
      <c r="AM16" s="41" t="s">
        <v>5</v>
      </c>
      <c r="AN16" s="41">
        <f>IF(AN3=1,VLOOKUP(AN5,英雄升星数值!$A$3:$U$8,4,FALSE),IF(AN3=2,VLOOKUP(AN5,英雄升星数值!$A$3:$U$8,11,FALSE),VLOOKUP(AN5,英雄升星数值!$A$3:$U$8,18,FALSE)))+IF(AN6=1,英雄装备数值!$D$3*AN7*英雄装备数值!$D$46/战力关系!$B$6,IF(AN6=2,英雄装备数值!$D$4*AN7*英雄装备数值!$D$46/战力关系!$B$6,英雄装备数值!$D$5*AN7*英雄装备数值!$D$46/战力关系!$B$6))</f>
        <v>152</v>
      </c>
      <c r="AO16" s="41" t="s">
        <v>5</v>
      </c>
      <c r="AP16" s="49">
        <f>IF(AP3=1,VLOOKUP(AP5,英雄升星数值!$A$3:$U$8,4,FALSE),IF(AP3=2,VLOOKUP(AP5,英雄升星数值!$A$3:$U$8,11,FALSE),VLOOKUP(AP5,英雄升星数值!$A$3:$U$8,18,FALSE)))+IF(AP6=1,英雄装备数值!$D$3*AP7*英雄装备数值!$D$46/战力关系!$B$6,IF(AP6=2,英雄装备数值!$D$4*AP7*英雄装备数值!$D$46/战力关系!$B$6,英雄装备数值!$D$5*AP7*英雄装备数值!$D$46/战力关系!$B$6))</f>
        <v>120</v>
      </c>
    </row>
    <row r="17" spans="1:42" x14ac:dyDescent="0.3">
      <c r="A17" s="48" t="s">
        <v>6</v>
      </c>
      <c r="B17" s="42">
        <f>IF(B3=1,VLOOKUP(B5,英雄升星数值!$A$3:$U$8,5,FALSE),IF(B3=2,VLOOKUP(B5,英雄升星数值!$A$3:$U$8,12,FALSE),VLOOKUP(B5,英雄升星数值!$A$3:$U$8,19,FALSE)))+IF(B6=1,英雄装备数值!$D$3*B7*英雄装备数值!$D$47/战力关系!$B$7,IF(B6=2,英雄装备数值!$D$4*B7*英雄装备数值!$D$47/战力关系!$B$7,英雄装备数值!$D$5*B7*英雄装备数值!$D$47/战力关系!$B$7))</f>
        <v>0.28799999999999998</v>
      </c>
      <c r="C17" s="41" t="s">
        <v>6</v>
      </c>
      <c r="D17" s="42">
        <f>IF(D3=1,VLOOKUP(D5,英雄升星数值!$A$3:$U$8,5,FALSE),IF(D3=2,VLOOKUP(D5,英雄升星数值!$A$3:$U$8,12,FALSE),VLOOKUP(D5,英雄升星数值!$A$3:$U$8,19,FALSE)))+IF(D6=1,英雄装备数值!$D$3*D7*英雄装备数值!$D$47/战力关系!$B$7,IF(D6=2,英雄装备数值!$D$4*D7*英雄装备数值!$D$47/战力关系!$B$7,英雄装备数值!$D$5*D7*英雄装备数值!$D$47/战力关系!$B$7))</f>
        <v>0.22499999999999998</v>
      </c>
      <c r="E17" s="41" t="s">
        <v>6</v>
      </c>
      <c r="F17" s="50">
        <f>IF(F3=1,VLOOKUP(F5,英雄升星数值!$A$3:$U$8,5,FALSE),IF(F3=2,VLOOKUP(F5,英雄升星数值!$A$3:$U$8,12,FALSE),VLOOKUP(F5,英雄升星数值!$A$3:$U$8,19,FALSE)))+IF(F6=1,英雄装备数值!$D$3*F7*英雄装备数值!$D$47/战力关系!$B$7,IF(F6=2,英雄装备数值!$D$4*F7*英雄装备数值!$D$47/战力关系!$B$7,英雄装备数值!$D$5*F7*英雄装备数值!$D$47/战力关系!$B$7))</f>
        <v>0.3775</v>
      </c>
      <c r="G17" s="45" t="s">
        <v>6</v>
      </c>
      <c r="H17" s="42">
        <f>IF(H3=1,VLOOKUP(H5,英雄升星数值!$A$3:$U$8,5,FALSE),IF(H3=2,VLOOKUP(H5,英雄升星数值!$A$3:$U$8,12,FALSE),VLOOKUP(H5,英雄升星数值!$A$3:$U$8,19,FALSE)))+IF(H6=1,英雄装备数值!$D$3*H7*英雄装备数值!$D$47/战力关系!$B$7,IF(H6=2,英雄装备数值!$D$4*H7*英雄装备数值!$D$47/战力关系!$B$7,英雄装备数值!$D$5*H7*英雄装备数值!$D$47/战力关系!$B$7))</f>
        <v>0.55200000000000005</v>
      </c>
      <c r="I17" s="41" t="s">
        <v>6</v>
      </c>
      <c r="J17" s="42">
        <f>IF(J3=1,VLOOKUP(J5,英雄升星数值!$A$3:$U$8,5,FALSE),IF(J3=2,VLOOKUP(J5,英雄升星数值!$A$3:$U$8,12,FALSE),VLOOKUP(J5,英雄升星数值!$A$3:$U$8,19,FALSE)))+IF(J6=1,英雄装备数值!$D$3*J7*英雄装备数值!$D$47/战力关系!$B$7,IF(J6=2,英雄装备数值!$D$4*J7*英雄装备数值!$D$47/战力关系!$B$7,英雄装备数值!$D$5*J7*英雄装备数值!$D$47/战力关系!$B$7))</f>
        <v>0.51200000000000001</v>
      </c>
      <c r="K17" s="41" t="s">
        <v>6</v>
      </c>
      <c r="L17" s="50">
        <f>IF(L3=1,VLOOKUP(L5,英雄升星数值!$A$3:$U$8,5,FALSE),IF(L3=2,VLOOKUP(L5,英雄升星数值!$A$3:$U$8,12,FALSE),VLOOKUP(L5,英雄升星数值!$A$3:$U$8,19,FALSE)))+IF(L6=1,英雄装备数值!$D$3*L7*英雄装备数值!$D$47/战力关系!$B$7,IF(L6=2,英雄装备数值!$D$4*L7*英雄装备数值!$D$47/战力关系!$B$7,英雄装备数值!$D$5*L7*英雄装备数值!$D$47/战力关系!$B$7))</f>
        <v>0.41750000000000004</v>
      </c>
      <c r="M17" s="48" t="s">
        <v>6</v>
      </c>
      <c r="N17" s="42">
        <f>IF(N3=1,VLOOKUP(N5,英雄升星数值!$A$3:$U$8,5,FALSE),IF(N3=2,VLOOKUP(N5,英雄升星数值!$A$3:$U$8,12,FALSE),VLOOKUP(N5,英雄升星数值!$A$3:$U$8,19,FALSE)))+IF(N6=1,英雄装备数值!$D$3*N7*英雄装备数值!$D$47/战力关系!$B$7,IF(N6=2,英雄装备数值!$D$4*N7*英雄装备数值!$D$47/战力关系!$B$7,英雄装备数值!$D$5*N7*英雄装备数值!$D$47/战力关系!$B$7))</f>
        <v>0.73199999999999998</v>
      </c>
      <c r="O17" s="41" t="s">
        <v>6</v>
      </c>
      <c r="P17" s="42">
        <f>IF(P3=1,VLOOKUP(P5,英雄升星数值!$A$3:$U$8,5,FALSE),IF(P3=2,VLOOKUP(P5,英雄升星数值!$A$3:$U$8,12,FALSE),VLOOKUP(P5,英雄升星数值!$A$3:$U$8,19,FALSE)))+IF(P6=1,英雄装备数值!$D$3*P7*英雄装备数值!$D$47/战力关系!$B$7,IF(P6=2,英雄装备数值!$D$4*P7*英雄装备数值!$D$47/战力关系!$B$7,英雄装备数值!$D$5*P7*英雄装备数值!$D$47/战力关系!$B$7))</f>
        <v>0.73199999999999998</v>
      </c>
      <c r="Q17" s="41" t="s">
        <v>6</v>
      </c>
      <c r="R17" s="50">
        <f>IF(R3=1,VLOOKUP(R5,英雄升星数值!$A$3:$U$8,5,FALSE),IF(R3=2,VLOOKUP(R5,英雄升星数值!$A$3:$U$8,12,FALSE),VLOOKUP(R5,英雄升星数值!$A$3:$U$8,19,FALSE)))+IF(R6=1,英雄装备数值!$D$3*R7*英雄装备数值!$D$47/战力关系!$B$7,IF(R6=2,英雄装备数值!$D$4*R7*英雄装备数值!$D$47/战力关系!$B$7,英雄装备数值!$D$5*R7*英雄装备数值!$D$47/战力关系!$B$7))</f>
        <v>0.63200000000000012</v>
      </c>
      <c r="S17" s="48" t="s">
        <v>6</v>
      </c>
      <c r="T17" s="42">
        <f>IF(T3=1,VLOOKUP(T5,英雄升星数值!$A$3:$U$8,5,FALSE),IF(T3=2,VLOOKUP(T5,英雄升星数值!$A$3:$U$8,12,FALSE),VLOOKUP(T5,英雄升星数值!$A$3:$U$8,19,FALSE)))+IF(T6=1,英雄装备数值!$D$3*T7*英雄装备数值!$D$47/战力关系!$B$7,IF(T6=2,英雄装备数值!$D$4*T7*英雄装备数值!$D$47/战力关系!$B$7,英雄装备数值!$D$5*T7*英雄装备数值!$D$47/战力关系!$B$7))</f>
        <v>0.87599999999999989</v>
      </c>
      <c r="U17" s="41" t="s">
        <v>6</v>
      </c>
      <c r="V17" s="42">
        <f>IF(V3=1,VLOOKUP(V5,英雄升星数值!$A$3:$U$8,5,FALSE),IF(V3=2,VLOOKUP(V5,英雄升星数值!$A$3:$U$8,12,FALSE),VLOOKUP(V5,英雄升星数值!$A$3:$U$8,19,FALSE)))+IF(V6=1,英雄装备数值!$D$3*V7*英雄装备数值!$D$47/战力关系!$B$7,IF(V6=2,英雄装备数值!$D$4*V7*英雄装备数值!$D$47/战力关系!$B$7,英雄装备数值!$D$5*V7*英雄装备数值!$D$47/战力关系!$B$7))</f>
        <v>0.73199999999999998</v>
      </c>
      <c r="W17" s="41" t="s">
        <v>6</v>
      </c>
      <c r="X17" s="50">
        <f>IF(X3=1,VLOOKUP(X5,英雄升星数值!$A$3:$U$8,5,FALSE),IF(X3=2,VLOOKUP(X5,英雄升星数值!$A$3:$U$8,12,FALSE),VLOOKUP(X5,英雄升星数值!$A$3:$U$8,19,FALSE)))+IF(X6=1,英雄装备数值!$D$3*X7*英雄装备数值!$D$47/战力关系!$B$7,IF(X6=2,英雄装备数值!$D$4*X7*英雄装备数值!$D$47/战力关系!$B$7,英雄装备数值!$D$5*X7*英雄装备数值!$D$47/战力关系!$B$7))</f>
        <v>0.63200000000000012</v>
      </c>
      <c r="Y17" s="48" t="s">
        <v>6</v>
      </c>
      <c r="Z17" s="42">
        <f>IF(Z3=1,VLOOKUP(Z5,英雄升星数值!$A$3:$U$8,5,FALSE),IF(Z3=2,VLOOKUP(Z5,英雄升星数值!$A$3:$U$8,12,FALSE),VLOOKUP(Z5,英雄升星数值!$A$3:$U$8,19,FALSE)))+IF(Z6=1,英雄装备数值!$D$3*Z7*英雄装备数值!$D$47/战力关系!$B$7,IF(Z6=2,英雄装备数值!$D$4*Z7*英雄装备数值!$D$47/战力关系!$B$7,英雄装备数值!$D$5*Z7*英雄装备数值!$D$47/战力关系!$B$7))</f>
        <v>0.97599999999999998</v>
      </c>
      <c r="AA17" s="41" t="s">
        <v>6</v>
      </c>
      <c r="AB17" s="42">
        <f>IF(AB3=1,VLOOKUP(AB5,英雄升星数值!$A$3:$U$8,5,FALSE),IF(AB3=2,VLOOKUP(AB5,英雄升星数值!$A$3:$U$8,12,FALSE),VLOOKUP(AB5,英雄升星数值!$A$3:$U$8,19,FALSE)))+IF(AB6=1,英雄装备数值!$D$3*AB7*英雄装备数值!$D$47/战力关系!$B$7,IF(AB6=2,英雄装备数值!$D$4*AB7*英雄装备数值!$D$47/战力关系!$B$7,英雄装备数值!$D$5*AB7*英雄装备数值!$D$47/战力关系!$B$7))</f>
        <v>0.87599999999999989</v>
      </c>
      <c r="AC17" s="41" t="s">
        <v>6</v>
      </c>
      <c r="AD17" s="50">
        <f>IF(AD3=1,VLOOKUP(AD5,英雄升星数值!$A$3:$U$8,5,FALSE),IF(AD3=2,VLOOKUP(AD5,英雄升星数值!$A$3:$U$8,12,FALSE),VLOOKUP(AD5,英雄升星数值!$A$3:$U$8,19,FALSE)))+IF(AD6=1,英雄装备数值!$D$3*AD7*英雄装备数值!$D$47/战力关系!$B$7,IF(AD6=2,英雄装备数值!$D$4*AD7*英雄装备数值!$D$47/战力关系!$B$7,英雄装备数值!$D$5*AD7*英雄装备数值!$D$47/战力关系!$B$7))</f>
        <v>0.73199999999999998</v>
      </c>
      <c r="AE17" s="48" t="s">
        <v>6</v>
      </c>
      <c r="AF17" s="42">
        <f>IF(AF3=1,VLOOKUP(AF5,英雄升星数值!$A$3:$U$8,5,FALSE),IF(AF3=2,VLOOKUP(AF5,英雄升星数值!$A$3:$U$8,12,FALSE),VLOOKUP(AF5,英雄升星数值!$A$3:$U$8,19,FALSE)))+IF(AF6=1,英雄装备数值!$D$3*AF7*英雄装备数值!$D$47/战力关系!$B$7,IF(AF6=2,英雄装备数值!$D$4*AF7*英雄装备数值!$D$47/战力关系!$B$7,英雄装备数值!$D$5*AF7*英雄装备数值!$D$47/战力关系!$B$7))</f>
        <v>0.97599999999999998</v>
      </c>
      <c r="AG17" s="41" t="s">
        <v>6</v>
      </c>
      <c r="AH17" s="42">
        <f>IF(AH3=1,VLOOKUP(AH5,英雄升星数值!$A$3:$U$8,5,FALSE),IF(AH3=2,VLOOKUP(AH5,英雄升星数值!$A$3:$U$8,12,FALSE),VLOOKUP(AH5,英雄升星数值!$A$3:$U$8,19,FALSE)))+IF(AH6=1,英雄装备数值!$D$3*AH7*英雄装备数值!$D$47/战力关系!$B$7,IF(AH6=2,英雄装备数值!$D$4*AH7*英雄装备数值!$D$47/战力关系!$B$7,英雄装备数值!$D$5*AH7*英雄装备数值!$D$47/战力关系!$B$7))</f>
        <v>0.87599999999999989</v>
      </c>
      <c r="AI17" s="41" t="s">
        <v>6</v>
      </c>
      <c r="AJ17" s="50">
        <f>IF(AJ3=1,VLOOKUP(AJ5,英雄升星数值!$A$3:$U$8,5,FALSE),IF(AJ3=2,VLOOKUP(AJ5,英雄升星数值!$A$3:$U$8,12,FALSE),VLOOKUP(AJ5,英雄升星数值!$A$3:$U$8,19,FALSE)))+IF(AJ6=1,英雄装备数值!$D$3*AJ7*英雄装备数值!$D$47/战力关系!$B$7,IF(AJ6=2,英雄装备数值!$D$4*AJ7*英雄装备数值!$D$47/战力关系!$B$7,英雄装备数值!$D$5*AJ7*英雄装备数值!$D$47/战力关系!$B$7))</f>
        <v>0.87599999999999989</v>
      </c>
      <c r="AK17" s="48" t="s">
        <v>6</v>
      </c>
      <c r="AL17" s="42">
        <f>IF(AL3=1,VLOOKUP(AL5,英雄升星数值!$A$3:$U$8,5,FALSE),IF(AL3=2,VLOOKUP(AL5,英雄升星数值!$A$3:$U$8,12,FALSE),VLOOKUP(AL5,英雄升星数值!$A$3:$U$8,19,FALSE)))+IF(AL6=1,英雄装备数值!$D$3*AL7*英雄装备数值!$D$47/战力关系!$B$7,IF(AL6=2,英雄装备数值!$D$4*AL7*英雄装备数值!$D$47/战力关系!$B$7,英雄装备数值!$D$5*AL7*英雄装备数值!$D$47/战力关系!$B$7))</f>
        <v>1.1200000000000001</v>
      </c>
      <c r="AM17" s="41" t="s">
        <v>6</v>
      </c>
      <c r="AN17" s="42">
        <f>IF(AN3=1,VLOOKUP(AN5,英雄升星数值!$A$3:$U$8,5,FALSE),IF(AN3=2,VLOOKUP(AN5,英雄升星数值!$A$3:$U$8,12,FALSE),VLOOKUP(AN5,英雄升星数值!$A$3:$U$8,19,FALSE)))+IF(AN6=1,英雄装备数值!$D$3*AN7*英雄装备数值!$D$47/战力关系!$B$7,IF(AN6=2,英雄装备数值!$D$4*AN7*英雄装备数值!$D$47/战力关系!$B$7,英雄装备数值!$D$5*AN7*英雄装备数值!$D$47/战力关系!$B$7))</f>
        <v>1.1200000000000001</v>
      </c>
      <c r="AO17" s="41" t="s">
        <v>6</v>
      </c>
      <c r="AP17" s="50">
        <f>IF(AP3=1,VLOOKUP(AP5,英雄升星数值!$A$3:$U$8,5,FALSE),IF(AP3=2,VLOOKUP(AP5,英雄升星数值!$A$3:$U$8,12,FALSE),VLOOKUP(AP5,英雄升星数值!$A$3:$U$8,19,FALSE)))+IF(AP6=1,英雄装备数值!$D$3*AP7*英雄装备数值!$D$47/战力关系!$B$7,IF(AP6=2,英雄装备数值!$D$4*AP7*英雄装备数值!$D$47/战力关系!$B$7,英雄装备数值!$D$5*AP7*英雄装备数值!$D$47/战力关系!$B$7))</f>
        <v>0.87599999999999989</v>
      </c>
    </row>
    <row r="18" spans="1:42" x14ac:dyDescent="0.3">
      <c r="A18" s="48" t="s">
        <v>116</v>
      </c>
      <c r="B18" s="42">
        <f>IF(B3=1,VLOOKUP(B5,英雄升星数值!$A$3:$U$8,6,FALSE),IF(B3=2,VLOOKUP(B5,英雄升星数值!$A$3:$U$8,13,FALSE),VLOOKUP(B5,英雄升星数值!$A$3:$U$8,20,FALSE)))+IF(B6=1,英雄装备数值!$D$3*B7*英雄装备数值!$D$48/战力关系!$B$8,IF(B6=2,英雄装备数值!$D$4*B7*英雄装备数值!$D$48/战力关系!$B$8,英雄装备数值!$D$5*B7*英雄装备数值!$D$48/战力关系!$B$8))</f>
        <v>0.21599999999999997</v>
      </c>
      <c r="C18" s="41" t="s">
        <v>116</v>
      </c>
      <c r="D18" s="42">
        <f>IF(D3=1,VLOOKUP(D5,英雄升星数值!$A$3:$U$8,6,FALSE),IF(D3=2,VLOOKUP(D5,英雄升星数值!$A$3:$U$8,13,FALSE),VLOOKUP(D5,英雄升星数值!$A$3:$U$8,20,FALSE)))+IF(D6=1,英雄装备数值!$D$3*D7*英雄装备数值!$D$48/战力关系!$B$8,IF(D6=2,英雄装备数值!$D$4*D7*英雄装备数值!$D$48/战力关系!$B$8,英雄装备数值!$D$5*D7*英雄装备数值!$D$48/战力关系!$B$8))</f>
        <v>0.16874999999999998</v>
      </c>
      <c r="E18" s="41" t="s">
        <v>116</v>
      </c>
      <c r="F18" s="50">
        <f>IF(F3=1,VLOOKUP(F5,英雄升星数值!$A$3:$U$8,6,FALSE),IF(F3=2,VLOOKUP(F5,英雄升星数值!$A$3:$U$8,13,FALSE),VLOOKUP(F5,英雄升星数值!$A$3:$U$8,20,FALSE)))+IF(F6=1,英雄装备数值!$D$3*F7*英雄装备数值!$D$48/战力关系!$B$8,IF(F6=2,英雄装备数值!$D$4*F7*英雄装备数值!$D$48/战力关系!$B$8,英雄装备数值!$D$5*F7*英雄装备数值!$D$48/战力关系!$B$8))</f>
        <v>0.28512499999999996</v>
      </c>
      <c r="G18" s="45" t="s">
        <v>116</v>
      </c>
      <c r="H18" s="42">
        <f>IF(H3=1,VLOOKUP(H5,英雄升星数值!$A$3:$U$8,6,FALSE),IF(H3=2,VLOOKUP(H5,英雄升星数值!$A$3:$U$8,13,FALSE),VLOOKUP(H5,英雄升星数值!$A$3:$U$8,20,FALSE)))+IF(H6=1,英雄装备数值!$D$3*H7*英雄装备数值!$D$48/战力关系!$B$8,IF(H6=2,英雄装备数值!$D$4*H7*英雄装备数值!$D$48/战力关系!$B$8,英雄装备数值!$D$5*H7*英雄装备数值!$D$48/战力关系!$B$8))</f>
        <v>0.42000000000000004</v>
      </c>
      <c r="I18" s="41" t="s">
        <v>116</v>
      </c>
      <c r="J18" s="42">
        <f>IF(J3=1,VLOOKUP(J5,英雄升星数值!$A$3:$U$8,6,FALSE),IF(J3=2,VLOOKUP(J5,英雄升星数值!$A$3:$U$8,13,FALSE),VLOOKUP(J5,英雄升星数值!$A$3:$U$8,20,FALSE)))+IF(J6=1,英雄装备数值!$D$3*J7*英雄装备数值!$D$48/战力关系!$B$8,IF(J6=2,英雄装备数值!$D$4*J7*英雄装备数值!$D$48/战力关系!$B$8,英雄装备数值!$D$5*J7*英雄装备数值!$D$48/战力关系!$B$8))</f>
        <v>0.38800000000000001</v>
      </c>
      <c r="K18" s="41" t="s">
        <v>116</v>
      </c>
      <c r="L18" s="50">
        <f>IF(L3=1,VLOOKUP(L5,英雄升星数值!$A$3:$U$8,6,FALSE),IF(L3=2,VLOOKUP(L5,英雄升星数值!$A$3:$U$8,13,FALSE),VLOOKUP(L5,英雄升星数值!$A$3:$U$8,20,FALSE)))+IF(L6=1,英雄装备数值!$D$3*L7*英雄装备数值!$D$48/战力关系!$B$8,IF(L6=2,英雄装备数值!$D$4*L7*英雄装备数值!$D$48/战力关系!$B$8,英雄装备数值!$D$5*L7*英雄装备数值!$D$48/战力关系!$B$8))</f>
        <v>0.31712499999999999</v>
      </c>
      <c r="M18" s="48" t="s">
        <v>116</v>
      </c>
      <c r="N18" s="42">
        <f>IF(N3=1,VLOOKUP(N5,英雄升星数值!$A$3:$U$8,6,FALSE),IF(N3=2,VLOOKUP(N5,英雄升星数值!$A$3:$U$8,13,FALSE),VLOOKUP(N5,英雄升星数值!$A$3:$U$8,20,FALSE)))+IF(N6=1,英雄装备数值!$D$3*N7*英雄装备数值!$D$48/战力关系!$B$8,IF(N6=2,英雄装备数值!$D$4*N7*英雄装备数值!$D$48/战力关系!$B$8,英雄装备数值!$D$5*N7*英雄装备数值!$D$48/战力关系!$B$8))</f>
        <v>0.56400000000000006</v>
      </c>
      <c r="O18" s="41" t="s">
        <v>116</v>
      </c>
      <c r="P18" s="42">
        <f>IF(P3=1,VLOOKUP(P5,英雄升星数值!$A$3:$U$8,6,FALSE),IF(P3=2,VLOOKUP(P5,英雄升星数值!$A$3:$U$8,13,FALSE),VLOOKUP(P5,英雄升星数值!$A$3:$U$8,20,FALSE)))+IF(P6=1,英雄装备数值!$D$3*P7*英雄装备数值!$D$48/战力关系!$B$8,IF(P6=2,英雄装备数值!$D$4*P7*英雄装备数值!$D$48/战力关系!$B$8,英雄装备数值!$D$5*P7*英雄装备数值!$D$48/战力关系!$B$8))</f>
        <v>0.56400000000000006</v>
      </c>
      <c r="Q18" s="41" t="s">
        <v>116</v>
      </c>
      <c r="R18" s="50">
        <f>IF(R3=1,VLOOKUP(R5,英雄升星数值!$A$3:$U$8,6,FALSE),IF(R3=2,VLOOKUP(R5,英雄升星数值!$A$3:$U$8,13,FALSE),VLOOKUP(R5,英雄升星数值!$A$3:$U$8,20,FALSE)))+IF(R6=1,英雄装备数值!$D$3*R7*英雄装备数值!$D$48/战力关系!$B$8,IF(R6=2,英雄装备数值!$D$4*R7*英雄装备数值!$D$48/战力关系!$B$8,英雄装备数值!$D$5*R7*英雄装备数值!$D$48/战力关系!$B$8))</f>
        <v>0.48399999999999999</v>
      </c>
      <c r="S18" s="48" t="s">
        <v>116</v>
      </c>
      <c r="T18" s="42">
        <f>IF(T3=1,VLOOKUP(T5,英雄升星数值!$A$3:$U$8,6,FALSE),IF(T3=2,VLOOKUP(T5,英雄升星数值!$A$3:$U$8,13,FALSE),VLOOKUP(T5,英雄升星数值!$A$3:$U$8,20,FALSE)))+IF(T6=1,英雄装备数值!$D$3*T7*英雄装备数值!$D$48/战力关系!$B$8,IF(T6=2,英雄装备数值!$D$4*T7*英雄装备数值!$D$48/战力关系!$B$8,英雄装备数值!$D$5*T7*英雄装备数值!$D$48/战力关系!$B$8))</f>
        <v>0.67199999999999993</v>
      </c>
      <c r="U18" s="41" t="s">
        <v>116</v>
      </c>
      <c r="V18" s="42">
        <f>IF(V3=1,VLOOKUP(V5,英雄升星数值!$A$3:$U$8,6,FALSE),IF(V3=2,VLOOKUP(V5,英雄升星数值!$A$3:$U$8,13,FALSE),VLOOKUP(V5,英雄升星数值!$A$3:$U$8,20,FALSE)))+IF(V6=1,英雄装备数值!$D$3*V7*英雄装备数值!$D$48/战力关系!$B$8,IF(V6=2,英雄装备数值!$D$4*V7*英雄装备数值!$D$48/战力关系!$B$8,英雄装备数值!$D$5*V7*英雄装备数值!$D$48/战力关系!$B$8))</f>
        <v>0.56400000000000006</v>
      </c>
      <c r="W18" s="41" t="s">
        <v>116</v>
      </c>
      <c r="X18" s="50">
        <f>IF(X3=1,VLOOKUP(X5,英雄升星数值!$A$3:$U$8,6,FALSE),IF(X3=2,VLOOKUP(X5,英雄升星数值!$A$3:$U$8,13,FALSE),VLOOKUP(X5,英雄升星数值!$A$3:$U$8,20,FALSE)))+IF(X6=1,英雄装备数值!$D$3*X7*英雄装备数值!$D$48/战力关系!$B$8,IF(X6=2,英雄装备数值!$D$4*X7*英雄装备数值!$D$48/战力关系!$B$8,英雄装备数值!$D$5*X7*英雄装备数值!$D$48/战力关系!$B$8))</f>
        <v>0.48399999999999999</v>
      </c>
      <c r="Y18" s="48" t="s">
        <v>116</v>
      </c>
      <c r="Z18" s="42">
        <f>IF(Z3=1,VLOOKUP(Z5,英雄升星数值!$A$3:$U$8,6,FALSE),IF(Z3=2,VLOOKUP(Z5,英雄升星数值!$A$3:$U$8,13,FALSE),VLOOKUP(Z5,英雄升星数值!$A$3:$U$8,20,FALSE)))+IF(Z6=1,英雄装备数值!$D$3*Z7*英雄装备数值!$D$48/战力关系!$B$8,IF(Z6=2,英雄装备数值!$D$4*Z7*英雄装备数值!$D$48/战力关系!$B$8,英雄装备数值!$D$5*Z7*英雄装备数值!$D$48/战力关系!$B$8))</f>
        <v>0.752</v>
      </c>
      <c r="AA18" s="41" t="s">
        <v>116</v>
      </c>
      <c r="AB18" s="42">
        <f>IF(AB3=1,VLOOKUP(AB5,英雄升星数值!$A$3:$U$8,6,FALSE),IF(AB3=2,VLOOKUP(AB5,英雄升星数值!$A$3:$U$8,13,FALSE),VLOOKUP(AB5,英雄升星数值!$A$3:$U$8,20,FALSE)))+IF(AB6=1,英雄装备数值!$D$3*AB7*英雄装备数值!$D$48/战力关系!$B$8,IF(AB6=2,英雄装备数值!$D$4*AB7*英雄装备数值!$D$48/战力关系!$B$8,英雄装备数值!$D$5*AB7*英雄装备数值!$D$48/战力关系!$B$8))</f>
        <v>0.67199999999999993</v>
      </c>
      <c r="AC18" s="41" t="s">
        <v>116</v>
      </c>
      <c r="AD18" s="50">
        <f>IF(AD3=1,VLOOKUP(AD5,英雄升星数值!$A$3:$U$8,6,FALSE),IF(AD3=2,VLOOKUP(AD5,英雄升星数值!$A$3:$U$8,13,FALSE),VLOOKUP(AD5,英雄升星数值!$A$3:$U$8,20,FALSE)))+IF(AD6=1,英雄装备数值!$D$3*AD7*英雄装备数值!$D$48/战力关系!$B$8,IF(AD6=2,英雄装备数值!$D$4*AD7*英雄装备数值!$D$48/战力关系!$B$8,英雄装备数值!$D$5*AD7*英雄装备数值!$D$48/战力关系!$B$8))</f>
        <v>0.56400000000000006</v>
      </c>
      <c r="AE18" s="48" t="s">
        <v>116</v>
      </c>
      <c r="AF18" s="42">
        <f>IF(AF3=1,VLOOKUP(AF5,英雄升星数值!$A$3:$U$8,6,FALSE),IF(AF3=2,VLOOKUP(AF5,英雄升星数值!$A$3:$U$8,13,FALSE),VLOOKUP(AF5,英雄升星数值!$A$3:$U$8,20,FALSE)))+IF(AF6=1,英雄装备数值!$D$3*AF7*英雄装备数值!$D$48/战力关系!$B$8,IF(AF6=2,英雄装备数值!$D$4*AF7*英雄装备数值!$D$48/战力关系!$B$8,英雄装备数值!$D$5*AF7*英雄装备数值!$D$48/战力关系!$B$8))</f>
        <v>0.752</v>
      </c>
      <c r="AG18" s="41" t="s">
        <v>116</v>
      </c>
      <c r="AH18" s="42">
        <f>IF(AH3=1,VLOOKUP(AH5,英雄升星数值!$A$3:$U$8,6,FALSE),IF(AH3=2,VLOOKUP(AH5,英雄升星数值!$A$3:$U$8,13,FALSE),VLOOKUP(AH5,英雄升星数值!$A$3:$U$8,20,FALSE)))+IF(AH6=1,英雄装备数值!$D$3*AH7*英雄装备数值!$D$48/战力关系!$B$8,IF(AH6=2,英雄装备数值!$D$4*AH7*英雄装备数值!$D$48/战力关系!$B$8,英雄装备数值!$D$5*AH7*英雄装备数值!$D$48/战力关系!$B$8))</f>
        <v>0.67199999999999993</v>
      </c>
      <c r="AI18" s="41" t="s">
        <v>116</v>
      </c>
      <c r="AJ18" s="50">
        <f>IF(AJ3=1,VLOOKUP(AJ5,英雄升星数值!$A$3:$U$8,6,FALSE),IF(AJ3=2,VLOOKUP(AJ5,英雄升星数值!$A$3:$U$8,13,FALSE),VLOOKUP(AJ5,英雄升星数值!$A$3:$U$8,20,FALSE)))+IF(AJ6=1,英雄装备数值!$D$3*AJ7*英雄装备数值!$D$48/战力关系!$B$8,IF(AJ6=2,英雄装备数值!$D$4*AJ7*英雄装备数值!$D$48/战力关系!$B$8,英雄装备数值!$D$5*AJ7*英雄装备数值!$D$48/战力关系!$B$8))</f>
        <v>0.67199999999999993</v>
      </c>
      <c r="AK18" s="48" t="s">
        <v>116</v>
      </c>
      <c r="AL18" s="42">
        <f>IF(AL3=1,VLOOKUP(AL5,英雄升星数值!$A$3:$U$8,6,FALSE),IF(AL3=2,VLOOKUP(AL5,英雄升星数值!$A$3:$U$8,13,FALSE),VLOOKUP(AL5,英雄升星数值!$A$3:$U$8,20,FALSE)))+IF(AL6=1,英雄装备数值!$D$3*AL7*英雄装备数值!$D$48/战力关系!$B$8,IF(AL6=2,英雄装备数值!$D$4*AL7*英雄装备数值!$D$48/战力关系!$B$8,英雄装备数值!$D$5*AL7*英雄装备数值!$D$48/战力关系!$B$8))</f>
        <v>0.85999999999999988</v>
      </c>
      <c r="AM18" s="41" t="s">
        <v>116</v>
      </c>
      <c r="AN18" s="42">
        <f>IF(AN3=1,VLOOKUP(AN5,英雄升星数值!$A$3:$U$8,6,FALSE),IF(AN3=2,VLOOKUP(AN5,英雄升星数值!$A$3:$U$8,13,FALSE),VLOOKUP(AN5,英雄升星数值!$A$3:$U$8,20,FALSE)))+IF(AN6=1,英雄装备数值!$D$3*AN7*英雄装备数值!$D$48/战力关系!$B$8,IF(AN6=2,英雄装备数值!$D$4*AN7*英雄装备数值!$D$48/战力关系!$B$8,英雄装备数值!$D$5*AN7*英雄装备数值!$D$48/战力关系!$B$8))</f>
        <v>0.85999999999999988</v>
      </c>
      <c r="AO18" s="41" t="s">
        <v>116</v>
      </c>
      <c r="AP18" s="50">
        <f>IF(AP3=1,VLOOKUP(AP5,英雄升星数值!$A$3:$U$8,6,FALSE),IF(AP3=2,VLOOKUP(AP5,英雄升星数值!$A$3:$U$8,13,FALSE),VLOOKUP(AP5,英雄升星数值!$A$3:$U$8,20,FALSE)))+IF(AP6=1,英雄装备数值!$D$3*AP7*英雄装备数值!$D$48/战力关系!$B$8,IF(AP6=2,英雄装备数值!$D$4*AP7*英雄装备数值!$D$48/战力关系!$B$8,英雄装备数值!$D$5*AP7*英雄装备数值!$D$48/战力关系!$B$8))</f>
        <v>0.67199999999999993</v>
      </c>
    </row>
    <row r="19" spans="1:42" x14ac:dyDescent="0.3">
      <c r="A19" s="48" t="s">
        <v>19</v>
      </c>
      <c r="B19" s="43">
        <f>SUMPRODUCT((B12:B18),(战力关系!$B$2:$B$8))</f>
        <v>2135.9850000000001</v>
      </c>
      <c r="C19" s="41" t="s">
        <v>19</v>
      </c>
      <c r="D19" s="43">
        <f>SUMPRODUCT((D12:D18),(战力关系!$B$2:$B$8))</f>
        <v>1607.25</v>
      </c>
      <c r="E19" s="41" t="s">
        <v>19</v>
      </c>
      <c r="F19" s="51">
        <f>SUMPRODUCT((F12:F18),(战力关系!$B$2:$B$8))</f>
        <v>2140.65</v>
      </c>
      <c r="G19" s="45" t="s">
        <v>19</v>
      </c>
      <c r="H19" s="43">
        <f>SUMPRODUCT((H12:H18),(战力关系!$B$2:$B$8))</f>
        <v>3607.8690000000001</v>
      </c>
      <c r="I19" s="41" t="s">
        <v>19</v>
      </c>
      <c r="J19" s="43">
        <f>SUMPRODUCT((J12:J18),(战力关系!$B$2:$B$8))</f>
        <v>3427.8689999999997</v>
      </c>
      <c r="K19" s="41" t="s">
        <v>19</v>
      </c>
      <c r="L19" s="51">
        <f>SUMPRODUCT((L12:L18),(战力关系!$B$2:$B$8))</f>
        <v>2690.19</v>
      </c>
      <c r="M19" s="48" t="s">
        <v>19</v>
      </c>
      <c r="N19" s="43">
        <f>SUMPRODUCT((N12:N18),(战力关系!$B$2:$B$8))</f>
        <v>5956.6394999999993</v>
      </c>
      <c r="O19" s="41" t="s">
        <v>19</v>
      </c>
      <c r="P19" s="43">
        <f>SUMPRODUCT((P12:P18),(战力关系!$B$2:$B$8))</f>
        <v>5956.6394999999993</v>
      </c>
      <c r="Q19" s="41" t="s">
        <v>19</v>
      </c>
      <c r="R19" s="51">
        <f>SUMPRODUCT((R12:R18),(战力关系!$B$2:$B$8))</f>
        <v>5506.6394999999993</v>
      </c>
      <c r="S19" s="48" t="s">
        <v>19</v>
      </c>
      <c r="T19" s="43">
        <f>SUMPRODUCT((T12:T18),(战力关系!$B$2:$B$8))</f>
        <v>7037.28</v>
      </c>
      <c r="U19" s="41" t="s">
        <v>19</v>
      </c>
      <c r="V19" s="43">
        <f>SUMPRODUCT((V12:V18),(战力关系!$B$2:$B$8))</f>
        <v>6347.6579999999994</v>
      </c>
      <c r="W19" s="41" t="s">
        <v>19</v>
      </c>
      <c r="X19" s="51">
        <f>SUMPRODUCT((X12:X18),(战力关系!$B$2:$B$8))</f>
        <v>5897.6579999999994</v>
      </c>
      <c r="Y19" s="48" t="s">
        <v>19</v>
      </c>
      <c r="Z19" s="43">
        <f>SUMPRODUCT((Z12:Z18),(战力关系!$B$2:$B$8))</f>
        <v>8025.72</v>
      </c>
      <c r="AA19" s="41" t="s">
        <v>19</v>
      </c>
      <c r="AB19" s="43">
        <f>SUMPRODUCT((AB12:AB18),(战力关系!$B$2:$B$8))</f>
        <v>7289.9519999999993</v>
      </c>
      <c r="AC19" s="41" t="s">
        <v>19</v>
      </c>
      <c r="AD19" s="51">
        <f>SUMPRODUCT((AD12:AD18),(战力关系!$B$2:$B$8))</f>
        <v>6678.1019999999999</v>
      </c>
      <c r="AE19" s="48" t="s">
        <v>19</v>
      </c>
      <c r="AF19" s="43">
        <f>SUMPRODUCT((AF12:AF18),(战力关系!$B$2:$B$8))</f>
        <v>8481.84</v>
      </c>
      <c r="AG19" s="41" t="s">
        <v>19</v>
      </c>
      <c r="AH19" s="43">
        <f>SUMPRODUCT((AH12:AH18),(战力关系!$B$2:$B$8))</f>
        <v>7881.84</v>
      </c>
      <c r="AI19" s="41" t="s">
        <v>19</v>
      </c>
      <c r="AJ19" s="51">
        <f>SUMPRODUCT((AJ12:AJ18),(战力关系!$B$2:$B$8))</f>
        <v>7567.3440000000001</v>
      </c>
      <c r="AK19" s="48" t="s">
        <v>19</v>
      </c>
      <c r="AL19" s="43">
        <f>SUMPRODUCT((AL12:AL18),(战力关系!$B$2:$B$8))</f>
        <v>9295.41</v>
      </c>
      <c r="AM19" s="41" t="s">
        <v>19</v>
      </c>
      <c r="AN19" s="43">
        <f>SUMPRODUCT((AN12:AN18),(战力关系!$B$2:$B$8))</f>
        <v>9295.41</v>
      </c>
      <c r="AO19" s="41" t="s">
        <v>19</v>
      </c>
      <c r="AP19" s="51">
        <f>SUMPRODUCT((AP12:AP18),(战力关系!$B$2:$B$8))</f>
        <v>8367.3599999999988</v>
      </c>
    </row>
    <row r="20" spans="1:42" ht="17.25" thickBot="1" x14ac:dyDescent="0.35">
      <c r="A20" s="144">
        <f>B19+D19+F19</f>
        <v>5883.8850000000002</v>
      </c>
      <c r="B20" s="145"/>
      <c r="C20" s="145"/>
      <c r="D20" s="145"/>
      <c r="E20" s="145"/>
      <c r="F20" s="146"/>
      <c r="G20" s="144">
        <f>H19+J19+L19</f>
        <v>9725.9279999999999</v>
      </c>
      <c r="H20" s="145"/>
      <c r="I20" s="145"/>
      <c r="J20" s="145"/>
      <c r="K20" s="145"/>
      <c r="L20" s="146"/>
      <c r="M20" s="144">
        <f>N19+P19+R19</f>
        <v>17419.9185</v>
      </c>
      <c r="N20" s="145"/>
      <c r="O20" s="145"/>
      <c r="P20" s="145"/>
      <c r="Q20" s="145"/>
      <c r="R20" s="146"/>
      <c r="S20" s="144">
        <f>T19+V19+X19</f>
        <v>19282.595999999998</v>
      </c>
      <c r="T20" s="145"/>
      <c r="U20" s="145"/>
      <c r="V20" s="145"/>
      <c r="W20" s="145"/>
      <c r="X20" s="146"/>
      <c r="Y20" s="144">
        <f>Z19+AB19+AD19</f>
        <v>21993.773999999998</v>
      </c>
      <c r="Z20" s="145"/>
      <c r="AA20" s="145"/>
      <c r="AB20" s="145"/>
      <c r="AC20" s="145"/>
      <c r="AD20" s="146"/>
      <c r="AE20" s="144">
        <f>AF19+AH19+AJ19</f>
        <v>23931.024000000001</v>
      </c>
      <c r="AF20" s="145"/>
      <c r="AG20" s="145"/>
      <c r="AH20" s="145"/>
      <c r="AI20" s="145"/>
      <c r="AJ20" s="146"/>
      <c r="AK20" s="144">
        <f>AL19+AN19+AP19</f>
        <v>26958.18</v>
      </c>
      <c r="AL20" s="145"/>
      <c r="AM20" s="145"/>
      <c r="AN20" s="145"/>
      <c r="AO20" s="145"/>
      <c r="AP20" s="146"/>
    </row>
    <row r="21" spans="1:42" x14ac:dyDescent="0.3">
      <c r="A21" s="136" t="s">
        <v>127</v>
      </c>
      <c r="B21" s="137"/>
      <c r="C21" s="137"/>
      <c r="D21" s="137"/>
      <c r="E21" s="137"/>
      <c r="F21" s="138"/>
      <c r="G21" s="136" t="s">
        <v>117</v>
      </c>
      <c r="H21" s="137"/>
      <c r="I21" s="137"/>
      <c r="J21" s="137"/>
      <c r="K21" s="137"/>
      <c r="L21" s="138"/>
      <c r="M21" s="136" t="s">
        <v>118</v>
      </c>
      <c r="N21" s="137"/>
      <c r="O21" s="137"/>
      <c r="P21" s="137"/>
      <c r="Q21" s="137"/>
      <c r="R21" s="138"/>
      <c r="S21" s="136" t="s">
        <v>119</v>
      </c>
      <c r="T21" s="137"/>
      <c r="U21" s="137"/>
      <c r="V21" s="137"/>
      <c r="W21" s="137"/>
      <c r="X21" s="138"/>
      <c r="Y21" s="136" t="s">
        <v>120</v>
      </c>
      <c r="Z21" s="137"/>
      <c r="AA21" s="137"/>
      <c r="AB21" s="137"/>
      <c r="AC21" s="137"/>
      <c r="AD21" s="138"/>
      <c r="AE21" s="140" t="s">
        <v>121</v>
      </c>
      <c r="AF21" s="141"/>
      <c r="AG21" s="141"/>
      <c r="AH21" s="141"/>
      <c r="AI21" s="141"/>
      <c r="AJ21" s="142"/>
      <c r="AK21" s="136" t="s">
        <v>122</v>
      </c>
      <c r="AL21" s="137"/>
      <c r="AM21" s="137"/>
      <c r="AN21" s="137"/>
      <c r="AO21" s="137"/>
      <c r="AP21" s="138"/>
    </row>
    <row r="22" spans="1:42" x14ac:dyDescent="0.3">
      <c r="A22" s="133" t="s">
        <v>100</v>
      </c>
      <c r="B22" s="134"/>
      <c r="C22" s="134" t="s">
        <v>104</v>
      </c>
      <c r="D22" s="134"/>
      <c r="E22" s="134" t="s">
        <v>105</v>
      </c>
      <c r="F22" s="135"/>
      <c r="G22" s="133" t="s">
        <v>100</v>
      </c>
      <c r="H22" s="134"/>
      <c r="I22" s="134" t="s">
        <v>104</v>
      </c>
      <c r="J22" s="134"/>
      <c r="K22" s="134" t="s">
        <v>105</v>
      </c>
      <c r="L22" s="135"/>
      <c r="M22" s="133" t="s">
        <v>100</v>
      </c>
      <c r="N22" s="134"/>
      <c r="O22" s="134" t="s">
        <v>104</v>
      </c>
      <c r="P22" s="134"/>
      <c r="Q22" s="134" t="s">
        <v>105</v>
      </c>
      <c r="R22" s="135"/>
      <c r="S22" s="133" t="s">
        <v>100</v>
      </c>
      <c r="T22" s="134"/>
      <c r="U22" s="134" t="s">
        <v>104</v>
      </c>
      <c r="V22" s="134"/>
      <c r="W22" s="134" t="s">
        <v>105</v>
      </c>
      <c r="X22" s="135"/>
      <c r="Y22" s="133" t="s">
        <v>100</v>
      </c>
      <c r="Z22" s="134"/>
      <c r="AA22" s="134" t="s">
        <v>104</v>
      </c>
      <c r="AB22" s="134"/>
      <c r="AC22" s="134" t="s">
        <v>105</v>
      </c>
      <c r="AD22" s="135"/>
      <c r="AE22" s="143" t="s">
        <v>100</v>
      </c>
      <c r="AF22" s="139"/>
      <c r="AG22" s="147" t="s">
        <v>104</v>
      </c>
      <c r="AH22" s="139"/>
      <c r="AI22" s="147" t="s">
        <v>105</v>
      </c>
      <c r="AJ22" s="148"/>
      <c r="AK22" s="133" t="s">
        <v>100</v>
      </c>
      <c r="AL22" s="134"/>
      <c r="AM22" s="134" t="s">
        <v>104</v>
      </c>
      <c r="AN22" s="134"/>
      <c r="AO22" s="134" t="s">
        <v>105</v>
      </c>
      <c r="AP22" s="135"/>
    </row>
    <row r="23" spans="1:42" x14ac:dyDescent="0.3">
      <c r="A23" s="46" t="s">
        <v>42</v>
      </c>
      <c r="B23" s="39">
        <v>2</v>
      </c>
      <c r="C23" s="39" t="s">
        <v>42</v>
      </c>
      <c r="D23" s="39">
        <v>1</v>
      </c>
      <c r="E23" s="39" t="s">
        <v>42</v>
      </c>
      <c r="F23" s="47">
        <v>1</v>
      </c>
      <c r="G23" s="44" t="s">
        <v>42</v>
      </c>
      <c r="H23" s="39">
        <v>2</v>
      </c>
      <c r="I23" s="39" t="s">
        <v>42</v>
      </c>
      <c r="J23" s="39">
        <v>2</v>
      </c>
      <c r="K23" s="39" t="s">
        <v>42</v>
      </c>
      <c r="L23" s="47">
        <v>1</v>
      </c>
      <c r="M23" s="46" t="s">
        <v>42</v>
      </c>
      <c r="N23" s="39">
        <v>3</v>
      </c>
      <c r="O23" s="39" t="s">
        <v>42</v>
      </c>
      <c r="P23" s="39">
        <v>2</v>
      </c>
      <c r="Q23" s="39" t="s">
        <v>42</v>
      </c>
      <c r="R23" s="47">
        <v>2</v>
      </c>
      <c r="S23" s="46" t="s">
        <v>42</v>
      </c>
      <c r="T23" s="39">
        <v>3</v>
      </c>
      <c r="U23" s="39" t="s">
        <v>42</v>
      </c>
      <c r="V23" s="39">
        <v>2</v>
      </c>
      <c r="W23" s="39" t="s">
        <v>42</v>
      </c>
      <c r="X23" s="47">
        <v>2</v>
      </c>
      <c r="Y23" s="46" t="s">
        <v>42</v>
      </c>
      <c r="Z23" s="39">
        <v>3</v>
      </c>
      <c r="AA23" s="39" t="s">
        <v>42</v>
      </c>
      <c r="AB23" s="39">
        <v>2</v>
      </c>
      <c r="AC23" s="39" t="s">
        <v>42</v>
      </c>
      <c r="AD23" s="47">
        <v>2</v>
      </c>
      <c r="AE23" s="46" t="s">
        <v>42</v>
      </c>
      <c r="AF23" s="39">
        <v>3</v>
      </c>
      <c r="AG23" s="39" t="s">
        <v>42</v>
      </c>
      <c r="AH23" s="39">
        <v>2</v>
      </c>
      <c r="AI23" s="39" t="s">
        <v>42</v>
      </c>
      <c r="AJ23" s="47">
        <v>2</v>
      </c>
      <c r="AK23" s="46" t="s">
        <v>42</v>
      </c>
      <c r="AL23" s="39">
        <v>3</v>
      </c>
      <c r="AM23" s="39" t="s">
        <v>42</v>
      </c>
      <c r="AN23" s="39">
        <v>3</v>
      </c>
      <c r="AO23" s="39" t="s">
        <v>42</v>
      </c>
      <c r="AP23" s="47">
        <v>2</v>
      </c>
    </row>
    <row r="24" spans="1:42" x14ac:dyDescent="0.3">
      <c r="A24" s="46" t="s">
        <v>33</v>
      </c>
      <c r="B24" s="39">
        <v>12</v>
      </c>
      <c r="C24" s="39" t="s">
        <v>33</v>
      </c>
      <c r="D24" s="39">
        <v>12</v>
      </c>
      <c r="E24" s="39" t="s">
        <v>33</v>
      </c>
      <c r="F24" s="47">
        <v>12</v>
      </c>
      <c r="G24" s="44" t="s">
        <v>33</v>
      </c>
      <c r="H24" s="39">
        <v>17</v>
      </c>
      <c r="I24" s="39" t="s">
        <v>33</v>
      </c>
      <c r="J24" s="39">
        <v>17</v>
      </c>
      <c r="K24" s="39" t="s">
        <v>33</v>
      </c>
      <c r="L24" s="47">
        <v>17</v>
      </c>
      <c r="M24" s="46" t="s">
        <v>33</v>
      </c>
      <c r="N24" s="39">
        <v>22</v>
      </c>
      <c r="O24" s="39" t="s">
        <v>33</v>
      </c>
      <c r="P24" s="39">
        <v>22</v>
      </c>
      <c r="Q24" s="39" t="s">
        <v>33</v>
      </c>
      <c r="R24" s="47">
        <v>22</v>
      </c>
      <c r="S24" s="46" t="s">
        <v>33</v>
      </c>
      <c r="T24" s="39">
        <v>24</v>
      </c>
      <c r="U24" s="39" t="s">
        <v>33</v>
      </c>
      <c r="V24" s="39">
        <v>24</v>
      </c>
      <c r="W24" s="39" t="s">
        <v>33</v>
      </c>
      <c r="X24" s="47">
        <v>24</v>
      </c>
      <c r="Y24" s="46" t="s">
        <v>33</v>
      </c>
      <c r="Z24" s="39">
        <v>26</v>
      </c>
      <c r="AA24" s="39" t="s">
        <v>33</v>
      </c>
      <c r="AB24" s="39">
        <v>26</v>
      </c>
      <c r="AC24" s="39" t="s">
        <v>33</v>
      </c>
      <c r="AD24" s="47">
        <v>26</v>
      </c>
      <c r="AE24" s="46" t="s">
        <v>33</v>
      </c>
      <c r="AF24" s="39">
        <v>28</v>
      </c>
      <c r="AG24" s="39" t="s">
        <v>33</v>
      </c>
      <c r="AH24" s="39">
        <v>28</v>
      </c>
      <c r="AI24" s="39" t="s">
        <v>33</v>
      </c>
      <c r="AJ24" s="47">
        <v>28</v>
      </c>
      <c r="AK24" s="46" t="s">
        <v>33</v>
      </c>
      <c r="AL24" s="39">
        <v>30</v>
      </c>
      <c r="AM24" s="39" t="s">
        <v>33</v>
      </c>
      <c r="AN24" s="39">
        <v>30</v>
      </c>
      <c r="AO24" s="39" t="s">
        <v>33</v>
      </c>
      <c r="AP24" s="47">
        <v>30</v>
      </c>
    </row>
    <row r="25" spans="1:42" x14ac:dyDescent="0.3">
      <c r="A25" s="46" t="s">
        <v>101</v>
      </c>
      <c r="B25" s="39">
        <v>1</v>
      </c>
      <c r="C25" s="39" t="s">
        <v>101</v>
      </c>
      <c r="D25" s="39">
        <v>1</v>
      </c>
      <c r="E25" s="39" t="s">
        <v>101</v>
      </c>
      <c r="F25" s="47">
        <v>1</v>
      </c>
      <c r="G25" s="44" t="s">
        <v>101</v>
      </c>
      <c r="H25" s="39">
        <v>2</v>
      </c>
      <c r="I25" s="39" t="s">
        <v>101</v>
      </c>
      <c r="J25" s="39">
        <v>1</v>
      </c>
      <c r="K25" s="39" t="s">
        <v>101</v>
      </c>
      <c r="L25" s="47">
        <v>1</v>
      </c>
      <c r="M25" s="46" t="s">
        <v>101</v>
      </c>
      <c r="N25" s="39">
        <v>1</v>
      </c>
      <c r="O25" s="39" t="s">
        <v>101</v>
      </c>
      <c r="P25" s="39">
        <v>2</v>
      </c>
      <c r="Q25" s="39" t="s">
        <v>101</v>
      </c>
      <c r="R25" s="47">
        <v>2</v>
      </c>
      <c r="S25" s="46" t="s">
        <v>101</v>
      </c>
      <c r="T25" s="39">
        <v>1</v>
      </c>
      <c r="U25" s="39" t="s">
        <v>101</v>
      </c>
      <c r="V25" s="39">
        <v>3</v>
      </c>
      <c r="W25" s="39" t="s">
        <v>101</v>
      </c>
      <c r="X25" s="47">
        <v>2</v>
      </c>
      <c r="Y25" s="46" t="s">
        <v>101</v>
      </c>
      <c r="Z25" s="39">
        <v>1</v>
      </c>
      <c r="AA25" s="39" t="s">
        <v>101</v>
      </c>
      <c r="AB25" s="39">
        <v>3</v>
      </c>
      <c r="AC25" s="39" t="s">
        <v>101</v>
      </c>
      <c r="AD25" s="47">
        <v>2</v>
      </c>
      <c r="AE25" s="46" t="s">
        <v>101</v>
      </c>
      <c r="AF25" s="39">
        <v>1</v>
      </c>
      <c r="AG25" s="39" t="s">
        <v>101</v>
      </c>
      <c r="AH25" s="39">
        <v>3</v>
      </c>
      <c r="AI25" s="39" t="s">
        <v>101</v>
      </c>
      <c r="AJ25" s="47">
        <v>3</v>
      </c>
      <c r="AK25" s="46" t="s">
        <v>101</v>
      </c>
      <c r="AL25" s="39">
        <v>2</v>
      </c>
      <c r="AM25" s="39" t="s">
        <v>101</v>
      </c>
      <c r="AN25" s="39">
        <v>1</v>
      </c>
      <c r="AO25" s="39" t="s">
        <v>101</v>
      </c>
      <c r="AP25" s="47">
        <v>3</v>
      </c>
    </row>
    <row r="26" spans="1:42" x14ac:dyDescent="0.3">
      <c r="A26" s="46" t="s">
        <v>102</v>
      </c>
      <c r="B26" s="39">
        <v>1</v>
      </c>
      <c r="C26" s="39" t="s">
        <v>102</v>
      </c>
      <c r="D26" s="39">
        <v>1</v>
      </c>
      <c r="E26" s="39" t="s">
        <v>102</v>
      </c>
      <c r="F26" s="47">
        <v>1</v>
      </c>
      <c r="G26" s="44" t="s">
        <v>102</v>
      </c>
      <c r="H26" s="39">
        <v>1</v>
      </c>
      <c r="I26" s="39" t="s">
        <v>102</v>
      </c>
      <c r="J26" s="39">
        <v>1</v>
      </c>
      <c r="K26" s="39" t="s">
        <v>102</v>
      </c>
      <c r="L26" s="39">
        <v>1</v>
      </c>
      <c r="M26" s="46" t="s">
        <v>102</v>
      </c>
      <c r="N26" s="39">
        <v>2</v>
      </c>
      <c r="O26" s="39" t="s">
        <v>102</v>
      </c>
      <c r="P26" s="39">
        <v>1</v>
      </c>
      <c r="Q26" s="39" t="s">
        <v>102</v>
      </c>
      <c r="R26" s="39">
        <v>1</v>
      </c>
      <c r="S26" s="46" t="s">
        <v>102</v>
      </c>
      <c r="T26" s="39">
        <v>2</v>
      </c>
      <c r="U26" s="39" t="s">
        <v>102</v>
      </c>
      <c r="V26" s="39">
        <v>1</v>
      </c>
      <c r="W26" s="39" t="s">
        <v>102</v>
      </c>
      <c r="X26" s="39">
        <v>1</v>
      </c>
      <c r="Y26" s="46" t="s">
        <v>102</v>
      </c>
      <c r="Z26" s="39">
        <v>2</v>
      </c>
      <c r="AA26" s="39" t="s">
        <v>102</v>
      </c>
      <c r="AB26" s="39">
        <v>2</v>
      </c>
      <c r="AC26" s="39" t="s">
        <v>102</v>
      </c>
      <c r="AD26" s="39">
        <v>1</v>
      </c>
      <c r="AE26" s="46" t="s">
        <v>102</v>
      </c>
      <c r="AF26" s="39">
        <v>2</v>
      </c>
      <c r="AG26" s="39" t="s">
        <v>102</v>
      </c>
      <c r="AH26" s="39">
        <v>2</v>
      </c>
      <c r="AI26" s="39" t="s">
        <v>102</v>
      </c>
      <c r="AJ26" s="39">
        <v>2</v>
      </c>
      <c r="AK26" s="46" t="s">
        <v>102</v>
      </c>
      <c r="AL26" s="39">
        <v>2</v>
      </c>
      <c r="AM26" s="39" t="s">
        <v>102</v>
      </c>
      <c r="AN26" s="39">
        <v>2</v>
      </c>
      <c r="AO26" s="39" t="s">
        <v>102</v>
      </c>
      <c r="AP26" s="39">
        <v>2</v>
      </c>
    </row>
    <row r="27" spans="1:42" x14ac:dyDescent="0.3">
      <c r="A27" s="46" t="s">
        <v>103</v>
      </c>
      <c r="B27" s="39">
        <v>0</v>
      </c>
      <c r="C27" s="39" t="s">
        <v>103</v>
      </c>
      <c r="D27" s="39">
        <v>0</v>
      </c>
      <c r="E27" s="39" t="s">
        <v>103</v>
      </c>
      <c r="F27" s="47">
        <v>0</v>
      </c>
      <c r="G27" s="44" t="s">
        <v>103</v>
      </c>
      <c r="H27" s="39">
        <v>2</v>
      </c>
      <c r="I27" s="39" t="s">
        <v>103</v>
      </c>
      <c r="J27" s="39">
        <v>2</v>
      </c>
      <c r="K27" s="39" t="s">
        <v>103</v>
      </c>
      <c r="L27" s="47">
        <v>2</v>
      </c>
      <c r="M27" s="46" t="s">
        <v>103</v>
      </c>
      <c r="N27" s="39">
        <v>5</v>
      </c>
      <c r="O27" s="39" t="s">
        <v>103</v>
      </c>
      <c r="P27" s="39">
        <v>5</v>
      </c>
      <c r="Q27" s="39" t="s">
        <v>103</v>
      </c>
      <c r="R27" s="47">
        <v>5</v>
      </c>
      <c r="S27" s="46" t="s">
        <v>103</v>
      </c>
      <c r="T27" s="39">
        <v>5</v>
      </c>
      <c r="U27" s="39" t="s">
        <v>103</v>
      </c>
      <c r="V27" s="39">
        <v>5</v>
      </c>
      <c r="W27" s="39" t="s">
        <v>103</v>
      </c>
      <c r="X27" s="47">
        <v>5</v>
      </c>
      <c r="Y27" s="46" t="s">
        <v>103</v>
      </c>
      <c r="Z27" s="39">
        <v>5</v>
      </c>
      <c r="AA27" s="39" t="s">
        <v>103</v>
      </c>
      <c r="AB27" s="39">
        <v>5</v>
      </c>
      <c r="AC27" s="39" t="s">
        <v>103</v>
      </c>
      <c r="AD27" s="47">
        <v>5</v>
      </c>
      <c r="AE27" s="46" t="s">
        <v>103</v>
      </c>
      <c r="AF27" s="39">
        <v>5</v>
      </c>
      <c r="AG27" s="39" t="s">
        <v>103</v>
      </c>
      <c r="AH27" s="39">
        <v>5</v>
      </c>
      <c r="AI27" s="39" t="s">
        <v>103</v>
      </c>
      <c r="AJ27" s="47">
        <v>5</v>
      </c>
      <c r="AK27" s="46" t="s">
        <v>103</v>
      </c>
      <c r="AL27" s="39">
        <v>5</v>
      </c>
      <c r="AM27" s="39" t="s">
        <v>103</v>
      </c>
      <c r="AN27" s="39">
        <v>5</v>
      </c>
      <c r="AO27" s="39" t="s">
        <v>103</v>
      </c>
      <c r="AP27" s="47">
        <v>5</v>
      </c>
    </row>
    <row r="28" spans="1:42" x14ac:dyDescent="0.3">
      <c r="A28" s="46" t="s">
        <v>15</v>
      </c>
      <c r="B28" s="39">
        <v>1</v>
      </c>
      <c r="C28" s="39" t="s">
        <v>15</v>
      </c>
      <c r="D28" s="39">
        <v>1</v>
      </c>
      <c r="E28" s="39" t="s">
        <v>15</v>
      </c>
      <c r="F28" s="47">
        <v>1</v>
      </c>
      <c r="G28" s="44" t="s">
        <v>15</v>
      </c>
      <c r="H28" s="39">
        <v>1</v>
      </c>
      <c r="I28" s="39" t="s">
        <v>15</v>
      </c>
      <c r="J28" s="39">
        <v>1</v>
      </c>
      <c r="K28" s="39" t="s">
        <v>15</v>
      </c>
      <c r="L28" s="47">
        <v>1</v>
      </c>
      <c r="M28" s="46" t="s">
        <v>15</v>
      </c>
      <c r="N28" s="39">
        <v>3</v>
      </c>
      <c r="O28" s="39" t="s">
        <v>15</v>
      </c>
      <c r="P28" s="39">
        <v>3</v>
      </c>
      <c r="Q28" s="39" t="s">
        <v>15</v>
      </c>
      <c r="R28" s="47">
        <v>3</v>
      </c>
      <c r="S28" s="46" t="s">
        <v>15</v>
      </c>
      <c r="T28" s="39">
        <v>4</v>
      </c>
      <c r="U28" s="39" t="s">
        <v>15</v>
      </c>
      <c r="V28" s="39">
        <v>4</v>
      </c>
      <c r="W28" s="39" t="s">
        <v>15</v>
      </c>
      <c r="X28" s="47">
        <v>4</v>
      </c>
      <c r="Y28" s="46" t="s">
        <v>15</v>
      </c>
      <c r="Z28" s="39">
        <v>5</v>
      </c>
      <c r="AA28" s="39" t="s">
        <v>15</v>
      </c>
      <c r="AB28" s="39">
        <v>5</v>
      </c>
      <c r="AC28" s="39" t="s">
        <v>15</v>
      </c>
      <c r="AD28" s="47">
        <v>5</v>
      </c>
      <c r="AE28" s="46" t="s">
        <v>15</v>
      </c>
      <c r="AF28" s="39">
        <v>5</v>
      </c>
      <c r="AG28" s="39" t="s">
        <v>15</v>
      </c>
      <c r="AH28" s="39">
        <v>5</v>
      </c>
      <c r="AI28" s="39" t="s">
        <v>15</v>
      </c>
      <c r="AJ28" s="47">
        <v>5</v>
      </c>
      <c r="AK28" s="46" t="s">
        <v>15</v>
      </c>
      <c r="AL28" s="39">
        <v>6</v>
      </c>
      <c r="AM28" s="39" t="s">
        <v>15</v>
      </c>
      <c r="AN28" s="39">
        <v>6</v>
      </c>
      <c r="AO28" s="39" t="s">
        <v>15</v>
      </c>
      <c r="AP28" s="47">
        <v>6</v>
      </c>
    </row>
    <row r="29" spans="1:42" x14ac:dyDescent="0.3">
      <c r="A29" s="46" t="s">
        <v>106</v>
      </c>
      <c r="B29" s="39">
        <v>2</v>
      </c>
      <c r="C29" s="39" t="s">
        <v>106</v>
      </c>
      <c r="D29" s="39">
        <v>1</v>
      </c>
      <c r="E29" s="39" t="s">
        <v>106</v>
      </c>
      <c r="F29" s="47">
        <v>1</v>
      </c>
      <c r="G29" s="44" t="s">
        <v>106</v>
      </c>
      <c r="H29" s="39">
        <v>2</v>
      </c>
      <c r="I29" s="39" t="s">
        <v>106</v>
      </c>
      <c r="J29" s="39">
        <v>1</v>
      </c>
      <c r="K29" s="39" t="s">
        <v>106</v>
      </c>
      <c r="L29" s="47">
        <v>1</v>
      </c>
      <c r="M29" s="46" t="s">
        <v>106</v>
      </c>
      <c r="N29" s="39">
        <v>2</v>
      </c>
      <c r="O29" s="39" t="s">
        <v>106</v>
      </c>
      <c r="P29" s="39">
        <v>2</v>
      </c>
      <c r="Q29" s="39" t="s">
        <v>106</v>
      </c>
      <c r="R29" s="47">
        <v>1</v>
      </c>
      <c r="S29" s="46" t="s">
        <v>106</v>
      </c>
      <c r="T29" s="39">
        <v>2</v>
      </c>
      <c r="U29" s="39" t="s">
        <v>106</v>
      </c>
      <c r="V29" s="39">
        <v>2</v>
      </c>
      <c r="W29" s="39" t="s">
        <v>106</v>
      </c>
      <c r="X29" s="47">
        <v>2</v>
      </c>
      <c r="Y29" s="46" t="s">
        <v>106</v>
      </c>
      <c r="Z29" s="39">
        <v>3</v>
      </c>
      <c r="AA29" s="39" t="s">
        <v>106</v>
      </c>
      <c r="AB29" s="39">
        <v>2</v>
      </c>
      <c r="AC29" s="39" t="s">
        <v>106</v>
      </c>
      <c r="AD29" s="47">
        <v>2</v>
      </c>
      <c r="AE29" s="46" t="s">
        <v>106</v>
      </c>
      <c r="AF29" s="39">
        <v>3</v>
      </c>
      <c r="AG29" s="39" t="s">
        <v>106</v>
      </c>
      <c r="AH29" s="39">
        <v>2</v>
      </c>
      <c r="AI29" s="39" t="s">
        <v>106</v>
      </c>
      <c r="AJ29" s="47">
        <v>2</v>
      </c>
      <c r="AK29" s="46" t="s">
        <v>106</v>
      </c>
      <c r="AL29" s="39">
        <v>3</v>
      </c>
      <c r="AM29" s="39" t="s">
        <v>106</v>
      </c>
      <c r="AN29" s="39">
        <v>3</v>
      </c>
      <c r="AO29" s="39" t="s">
        <v>106</v>
      </c>
      <c r="AP29" s="47">
        <v>2</v>
      </c>
    </row>
    <row r="30" spans="1:42" x14ac:dyDescent="0.3">
      <c r="A30" s="46" t="s">
        <v>107</v>
      </c>
      <c r="B30" s="39">
        <v>10</v>
      </c>
      <c r="C30" s="39" t="s">
        <v>107</v>
      </c>
      <c r="D30" s="39">
        <v>10</v>
      </c>
      <c r="E30" s="39" t="s">
        <v>107</v>
      </c>
      <c r="F30" s="47">
        <v>10</v>
      </c>
      <c r="G30" s="44" t="s">
        <v>107</v>
      </c>
      <c r="H30" s="39">
        <v>13</v>
      </c>
      <c r="I30" s="39" t="s">
        <v>107</v>
      </c>
      <c r="J30" s="39">
        <v>13</v>
      </c>
      <c r="K30" s="39" t="s">
        <v>107</v>
      </c>
      <c r="L30" s="47">
        <v>13</v>
      </c>
      <c r="M30" s="46" t="s">
        <v>107</v>
      </c>
      <c r="N30" s="39">
        <v>20</v>
      </c>
      <c r="O30" s="39" t="s">
        <v>107</v>
      </c>
      <c r="P30" s="39">
        <v>20</v>
      </c>
      <c r="Q30" s="39" t="s">
        <v>107</v>
      </c>
      <c r="R30" s="47">
        <v>20</v>
      </c>
      <c r="S30" s="46" t="s">
        <v>107</v>
      </c>
      <c r="T30" s="39">
        <v>22</v>
      </c>
      <c r="U30" s="39" t="s">
        <v>107</v>
      </c>
      <c r="V30" s="39">
        <v>22</v>
      </c>
      <c r="W30" s="39" t="s">
        <v>107</v>
      </c>
      <c r="X30" s="47">
        <v>22</v>
      </c>
      <c r="Y30" s="46" t="s">
        <v>107</v>
      </c>
      <c r="Z30" s="39">
        <v>26</v>
      </c>
      <c r="AA30" s="39" t="s">
        <v>107</v>
      </c>
      <c r="AB30" s="39">
        <v>26</v>
      </c>
      <c r="AC30" s="39" t="s">
        <v>107</v>
      </c>
      <c r="AD30" s="47">
        <v>26</v>
      </c>
      <c r="AE30" s="46" t="s">
        <v>107</v>
      </c>
      <c r="AF30" s="39">
        <v>26</v>
      </c>
      <c r="AG30" s="39" t="s">
        <v>107</v>
      </c>
      <c r="AH30" s="39">
        <v>26</v>
      </c>
      <c r="AI30" s="39" t="s">
        <v>107</v>
      </c>
      <c r="AJ30" s="47">
        <v>26</v>
      </c>
      <c r="AK30" s="46" t="s">
        <v>107</v>
      </c>
      <c r="AL30" s="39">
        <v>30</v>
      </c>
      <c r="AM30" s="39" t="s">
        <v>107</v>
      </c>
      <c r="AN30" s="39">
        <v>30</v>
      </c>
      <c r="AO30" s="39" t="s">
        <v>107</v>
      </c>
      <c r="AP30" s="47">
        <v>30</v>
      </c>
    </row>
    <row r="31" spans="1:42" x14ac:dyDescent="0.3">
      <c r="A31" s="46" t="s">
        <v>108</v>
      </c>
      <c r="B31" s="39">
        <v>1</v>
      </c>
      <c r="C31" s="39" t="s">
        <v>108</v>
      </c>
      <c r="D31" s="39">
        <v>1</v>
      </c>
      <c r="E31" s="39" t="s">
        <v>108</v>
      </c>
      <c r="F31" s="47">
        <v>1</v>
      </c>
      <c r="G31" s="44" t="s">
        <v>108</v>
      </c>
      <c r="H31" s="39">
        <v>1</v>
      </c>
      <c r="I31" s="39" t="s">
        <v>108</v>
      </c>
      <c r="J31" s="39">
        <v>1</v>
      </c>
      <c r="K31" s="39" t="s">
        <v>108</v>
      </c>
      <c r="L31" s="47">
        <v>1</v>
      </c>
      <c r="M31" s="46" t="s">
        <v>108</v>
      </c>
      <c r="N31" s="39">
        <v>2</v>
      </c>
      <c r="O31" s="39" t="s">
        <v>108</v>
      </c>
      <c r="P31" s="39">
        <v>2</v>
      </c>
      <c r="Q31" s="39" t="s">
        <v>108</v>
      </c>
      <c r="R31" s="47">
        <v>2</v>
      </c>
      <c r="S31" s="46" t="s">
        <v>108</v>
      </c>
      <c r="T31" s="39">
        <v>3</v>
      </c>
      <c r="U31" s="39" t="s">
        <v>108</v>
      </c>
      <c r="V31" s="39">
        <v>2</v>
      </c>
      <c r="W31" s="39" t="s">
        <v>108</v>
      </c>
      <c r="X31" s="47">
        <v>2</v>
      </c>
      <c r="Y31" s="46" t="s">
        <v>108</v>
      </c>
      <c r="Z31" s="39">
        <v>3</v>
      </c>
      <c r="AA31" s="39" t="s">
        <v>108</v>
      </c>
      <c r="AB31" s="39">
        <v>3</v>
      </c>
      <c r="AC31" s="39" t="s">
        <v>108</v>
      </c>
      <c r="AD31" s="47">
        <v>3</v>
      </c>
      <c r="AE31" s="46" t="s">
        <v>108</v>
      </c>
      <c r="AF31" s="39">
        <v>4</v>
      </c>
      <c r="AG31" s="39" t="s">
        <v>108</v>
      </c>
      <c r="AH31" s="39">
        <v>3</v>
      </c>
      <c r="AI31" s="39" t="s">
        <v>108</v>
      </c>
      <c r="AJ31" s="47">
        <v>3</v>
      </c>
      <c r="AK31" s="46" t="s">
        <v>108</v>
      </c>
      <c r="AL31" s="39">
        <v>4</v>
      </c>
      <c r="AM31" s="39" t="s">
        <v>108</v>
      </c>
      <c r="AN31" s="39">
        <v>4</v>
      </c>
      <c r="AO31" s="39" t="s">
        <v>108</v>
      </c>
      <c r="AP31" s="47">
        <v>3</v>
      </c>
    </row>
    <row r="32" spans="1:42" x14ac:dyDescent="0.3">
      <c r="A32" s="48" t="s">
        <v>1</v>
      </c>
      <c r="B32" s="41">
        <f>IF(B23=1,VLOOKUP(B24,英雄升级数值!$H$2:$S$42,2,FALSE),IF(B23=2,VLOOKUP(B24,英雄升级数值!$H$2:$S$42,6,FALSE),VLOOKUP(B24,英雄升级数值!$H$2:$S$42,10,FALSE)))*(1+VLOOKUP(B25,英雄升星数值!$A$3:$G$8,7))+IF(B26=1,英雄装备数值!$D$3*B27*英雄装备数值!$D$42/战力关系!$B$2,IF(B26=2,英雄装备数值!$D$4*B27*英雄装备数值!$D$42/战力关系!$B$2,英雄装备数值!$D$5*B27*英雄装备数值!$D$42/战力关系!$B$2))+VLOOKUP(B28,装备强化数值!$A$2:$B$22,2,FALSE)*B27/3/战力关系!$B$2+IF(B29=1,VLOOKUP(B30,'宠物升级数值-标准单只'!$A$3:$AD$42,8,FALSE),IF(B29=2,VLOOKUP(B30,'宠物升级数值-标准单只'!$A$3:$AD$42,18,FALSE),VLOOKUP(B30,'宠物升级数值-标准单只'!$A$3:$AD$42,28,FALSE)))*(1+VLOOKUP(B31,宠物升阶数值!$A$2:$B$31,2,FALSE))</f>
        <v>68.827500000000015</v>
      </c>
      <c r="C32" s="41" t="s">
        <v>1</v>
      </c>
      <c r="D32" s="41">
        <f>IF(D23=1,VLOOKUP(D24,英雄升级数值!$H$2:$S$42,2,FALSE),IF(D23=2,VLOOKUP(D24,英雄升级数值!$H$2:$S$42,6,FALSE),VLOOKUP(D24,英雄升级数值!$H$2:$S$42,10,FALSE)))*(1+VLOOKUP(D25,英雄升星数值!$A$3:$G$8,7))+IF(D26=1,英雄装备数值!$D$3*D27*英雄装备数值!$D$42/战力关系!$B$2,IF(D26=2,英雄装备数值!$D$4*D27*英雄装备数值!$D$42/战力关系!$B$2,英雄装备数值!$D$5*D27*英雄装备数值!$D$42/战力关系!$B$2))+VLOOKUP(D28,装备强化数值!$A$2:$B$22,2,FALSE)*D27/3/战力关系!$B$2+IF(D29=1,VLOOKUP(D30,'宠物升级数值-标准单只'!$A$3:$AD$42,8,FALSE),IF(D29=2,VLOOKUP(D30,'宠物升级数值-标准单只'!$A$3:$AD$42,18,FALSE),VLOOKUP(D30,'宠物升级数值-标准单只'!$A$3:$AD$42,28,FALSE)))*(1+VLOOKUP(D31,宠物升阶数值!$A$2:$B$31,2,FALSE))</f>
        <v>51.45</v>
      </c>
      <c r="E32" s="41" t="s">
        <v>1</v>
      </c>
      <c r="F32" s="49">
        <f>IF(F23=1,VLOOKUP(F24,英雄升级数值!$H$2:$S$42,2,FALSE),IF(F23=2,VLOOKUP(F24,英雄升级数值!$H$2:$S$42,6,FALSE),VLOOKUP(F24,英雄升级数值!$H$2:$S$42,10,FALSE)))*(1+VLOOKUP(F25,英雄升星数值!$A$3:$G$8,7))+IF(F26=1,英雄装备数值!$D$3*F27*英雄装备数值!$D$42/战力关系!$B$2,IF(F26=2,英雄装备数值!$D$4*F27*英雄装备数值!$D$42/战力关系!$B$2,英雄装备数值!$D$5*F27*英雄装备数值!$D$42/战力关系!$B$2))+VLOOKUP(F28,装备强化数值!$A$2:$B$22,2,FALSE)*F27/3/战力关系!$B$2+IF(F29=1,VLOOKUP(F30,'宠物升级数值-标准单只'!$A$3:$AD$42,8,FALSE),IF(F29=2,VLOOKUP(F30,'宠物升级数值-标准单只'!$A$3:$AD$42,18,FALSE),VLOOKUP(F30,'宠物升级数值-标准单只'!$A$3:$AD$42,28,FALSE)))*(1+VLOOKUP(F31,宠物升阶数值!$A$2:$B$31,2,FALSE))</f>
        <v>51.45</v>
      </c>
      <c r="G32" s="45" t="s">
        <v>1</v>
      </c>
      <c r="H32" s="41">
        <f>IF(H23=1,VLOOKUP(H24,英雄升级数值!$H$2:$S$42,2,FALSE),IF(H23=2,VLOOKUP(H24,英雄升级数值!$H$2:$S$42,6,FALSE),VLOOKUP(H24,英雄升级数值!$H$2:$S$42,10,FALSE)))*(1+VLOOKUP(H25,英雄升星数值!$A$3:$G$8,7))+IF(H26=1,英雄装备数值!$D$3*H27*英雄装备数值!$D$42/战力关系!$B$2,IF(H26=2,英雄装备数值!$D$4*H27*英雄装备数值!$D$42/战力关系!$B$2,英雄装备数值!$D$5*H27*英雄装备数值!$D$42/战力关系!$B$2))+VLOOKUP(H28,装备强化数值!$A$2:$B$22,2,FALSE)*H27/3/战力关系!$B$2+IF(H29=1,VLOOKUP(H30,'宠物升级数值-标准单只'!$A$3:$AD$42,8,FALSE),IF(H29=2,VLOOKUP(H30,'宠物升级数值-标准单只'!$A$3:$AD$42,18,FALSE),VLOOKUP(H30,'宠物升级数值-标准单只'!$A$3:$AD$42,28,FALSE)))*(1+VLOOKUP(H31,宠物升阶数值!$A$2:$B$31,2,FALSE))</f>
        <v>107.63600000000002</v>
      </c>
      <c r="I32" s="41" t="s">
        <v>1</v>
      </c>
      <c r="J32" s="41">
        <f>IF(J23=1,VLOOKUP(J24,英雄升级数值!$H$2:$S$42,2,FALSE),IF(J23=2,VLOOKUP(J24,英雄升级数值!$H$2:$S$42,6,FALSE),VLOOKUP(J24,英雄升级数值!$H$2:$S$42,10,FALSE)))*(1+VLOOKUP(J25,英雄升星数值!$A$3:$G$8,7))+IF(J26=1,英雄装备数值!$D$3*J27*英雄装备数值!$D$42/战力关系!$B$2,IF(J26=2,英雄装备数值!$D$4*J27*英雄装备数值!$D$42/战力关系!$B$2,英雄装备数值!$D$5*J27*英雄装备数值!$D$42/战力关系!$B$2))+VLOOKUP(J28,装备强化数值!$A$2:$B$22,2,FALSE)*J27/3/战力关系!$B$2+IF(J29=1,VLOOKUP(J30,'宠物升级数值-标准单只'!$A$3:$AD$42,8,FALSE),IF(J29=2,VLOOKUP(J30,'宠物升级数值-标准单只'!$A$3:$AD$42,18,FALSE),VLOOKUP(J30,'宠物升级数值-标准单只'!$A$3:$AD$42,28,FALSE)))*(1+VLOOKUP(J31,宠物升阶数值!$A$2:$B$31,2,FALSE))</f>
        <v>99.785500000000013</v>
      </c>
      <c r="K32" s="41" t="s">
        <v>1</v>
      </c>
      <c r="L32" s="49">
        <f>IF(L23=1,VLOOKUP(L24,英雄升级数值!$H$2:$S$42,2,FALSE),IF(L23=2,VLOOKUP(L24,英雄升级数值!$H$2:$S$42,6,FALSE),VLOOKUP(L24,英雄升级数值!$H$2:$S$42,10,FALSE)))*(1+VLOOKUP(L25,英雄升星数值!$A$3:$G$8,7))+IF(L26=1,英雄装备数值!$D$3*L27*英雄装备数值!$D$42/战力关系!$B$2,IF(L26=2,英雄装备数值!$D$4*L27*英雄装备数值!$D$42/战力关系!$B$2,英雄装备数值!$D$5*L27*英雄装备数值!$D$42/战力关系!$B$2))+VLOOKUP(L28,装备强化数值!$A$2:$B$22,2,FALSE)*L27/3/战力关系!$B$2+IF(L29=1,VLOOKUP(L30,'宠物升级数值-标准单只'!$A$3:$AD$42,8,FALSE),IF(L29=2,VLOOKUP(L30,'宠物升级数值-标准单只'!$A$3:$AD$42,18,FALSE),VLOOKUP(L30,'宠物升级数值-标准单只'!$A$3:$AD$42,28,FALSE)))*(1+VLOOKUP(L31,宠物升阶数值!$A$2:$B$31,2,FALSE))</f>
        <v>83.5</v>
      </c>
      <c r="M32" s="48" t="s">
        <v>1</v>
      </c>
      <c r="N32" s="41">
        <f>IF(N23=1,VLOOKUP(N24,英雄升级数值!$H$2:$S$42,2,FALSE),IF(N23=2,VLOOKUP(N24,英雄升级数值!$H$2:$S$42,6,FALSE),VLOOKUP(N24,英雄升级数值!$H$2:$S$42,10,FALSE)))*(1+VLOOKUP(N25,英雄升星数值!$A$3:$G$8,7))+IF(N26=1,英雄装备数值!$D$3*N27*英雄装备数值!$D$42/战力关系!$B$2,IF(N26=2,英雄装备数值!$D$4*N27*英雄装备数值!$D$42/战力关系!$B$2,英雄装备数值!$D$5*N27*英雄装备数值!$D$42/战力关系!$B$2))+VLOOKUP(N28,装备强化数值!$A$2:$B$22,2,FALSE)*N27/3/战力关系!$B$2+IF(N29=1,VLOOKUP(N30,'宠物升级数值-标准单只'!$A$3:$AD$42,8,FALSE),IF(N29=2,VLOOKUP(N30,'宠物升级数值-标准单只'!$A$3:$AD$42,18,FALSE),VLOOKUP(N30,'宠物升级数值-标准单只'!$A$3:$AD$42,28,FALSE)))*(1+VLOOKUP(N31,宠物升阶数值!$A$2:$B$31,2,FALSE))</f>
        <v>228.73350000000002</v>
      </c>
      <c r="O32" s="41" t="s">
        <v>1</v>
      </c>
      <c r="P32" s="41">
        <f>IF(P23=1,VLOOKUP(P24,英雄升级数值!$H$2:$S$42,2,FALSE),IF(P23=2,VLOOKUP(P24,英雄升级数值!$H$2:$S$42,6,FALSE),VLOOKUP(P24,英雄升级数值!$H$2:$S$42,10,FALSE)))*(1+VLOOKUP(P25,英雄升星数值!$A$3:$G$8,7))+IF(P26=1,英雄装备数值!$D$3*P27*英雄装备数值!$D$42/战力关系!$B$2,IF(P26=2,英雄装备数值!$D$4*P27*英雄装备数值!$D$42/战力关系!$B$2,英雄装备数值!$D$5*P27*英雄装备数值!$D$42/战力关系!$B$2))+VLOOKUP(P28,装备强化数值!$A$2:$B$22,2,FALSE)*P27/3/战力关系!$B$2+IF(P29=1,VLOOKUP(P30,'宠物升级数值-标准单只'!$A$3:$AD$42,8,FALSE),IF(P29=2,VLOOKUP(P30,'宠物升级数值-标准单只'!$A$3:$AD$42,18,FALSE),VLOOKUP(P30,'宠物升级数值-标准单只'!$A$3:$AD$42,28,FALSE)))*(1+VLOOKUP(P31,宠物升阶数值!$A$2:$B$31,2,FALSE))</f>
        <v>184.92100000000002</v>
      </c>
      <c r="Q32" s="41" t="s">
        <v>1</v>
      </c>
      <c r="R32" s="49">
        <f>IF(R23=1,VLOOKUP(R24,英雄升级数值!$H$2:$S$42,2,FALSE),IF(R23=2,VLOOKUP(R24,英雄升级数值!$H$2:$S$42,6,FALSE),VLOOKUP(R24,英雄升级数值!$H$2:$S$42,10,FALSE)))*(1+VLOOKUP(R25,英雄升星数值!$A$3:$G$8,7))+IF(R26=1,英雄装备数值!$D$3*R27*英雄装备数值!$D$42/战力关系!$B$2,IF(R26=2,英雄装备数值!$D$4*R27*英雄装备数值!$D$42/战力关系!$B$2,英雄装备数值!$D$5*R27*英雄装备数值!$D$42/战力关系!$B$2))+VLOOKUP(R28,装备强化数值!$A$2:$B$22,2,FALSE)*R27/3/战力关系!$B$2+IF(R29=1,VLOOKUP(R30,'宠物升级数值-标准单只'!$A$3:$AD$42,8,FALSE),IF(R29=2,VLOOKUP(R30,'宠物升级数值-标准单只'!$A$3:$AD$42,18,FALSE),VLOOKUP(R30,'宠物升级数值-标准单只'!$A$3:$AD$42,28,FALSE)))*(1+VLOOKUP(R31,宠物升阶数值!$A$2:$B$31,2,FALSE))</f>
        <v>177.39700000000002</v>
      </c>
      <c r="S32" s="48" t="s">
        <v>1</v>
      </c>
      <c r="T32" s="41">
        <f>IF(T23=1,VLOOKUP(T24,英雄升级数值!$H$2:$S$42,2,FALSE),IF(T23=2,VLOOKUP(T24,英雄升级数值!$H$2:$S$42,6,FALSE),VLOOKUP(T24,英雄升级数值!$H$2:$S$42,10,FALSE)))*(1+VLOOKUP(T25,英雄升星数值!$A$3:$G$8,7))+IF(T26=1,英雄装备数值!$D$3*T27*英雄装备数值!$D$42/战力关系!$B$2,IF(T26=2,英雄装备数值!$D$4*T27*英雄装备数值!$D$42/战力关系!$B$2,英雄装备数值!$D$5*T27*英雄装备数值!$D$42/战力关系!$B$2))+VLOOKUP(T28,装备强化数值!$A$2:$B$22,2,FALSE)*T27/3/战力关系!$B$2+IF(T29=1,VLOOKUP(T30,'宠物升级数值-标准单只'!$A$3:$AD$42,8,FALSE),IF(T29=2,VLOOKUP(T30,'宠物升级数值-标准单只'!$A$3:$AD$42,18,FALSE),VLOOKUP(T30,'宠物升级数值-标准单只'!$A$3:$AD$42,28,FALSE)))*(1+VLOOKUP(T31,宠物升阶数值!$A$2:$B$31,2,FALSE))</f>
        <v>254.524</v>
      </c>
      <c r="U32" s="41" t="s">
        <v>1</v>
      </c>
      <c r="V32" s="41">
        <f>IF(V23=1,VLOOKUP(V24,英雄升级数值!$H$2:$S$42,2,FALSE),IF(V23=2,VLOOKUP(V24,英雄升级数值!$H$2:$S$42,6,FALSE),VLOOKUP(V24,英雄升级数值!$H$2:$S$42,10,FALSE)))*(1+VLOOKUP(V25,英雄升星数值!$A$3:$G$8,7))+IF(V26=1,英雄装备数值!$D$3*V27*英雄装备数值!$D$42/战力关系!$B$2,IF(V26=2,英雄装备数值!$D$4*V27*英雄装备数值!$D$42/战力关系!$B$2,英雄装备数值!$D$5*V27*英雄装备数值!$D$42/战力关系!$B$2))+VLOOKUP(V28,装备强化数值!$A$2:$B$22,2,FALSE)*V27/3/战力关系!$B$2+IF(V29=1,VLOOKUP(V30,'宠物升级数值-标准单只'!$A$3:$AD$42,8,FALSE),IF(V29=2,VLOOKUP(V30,'宠物升级数值-标准单只'!$A$3:$AD$42,18,FALSE),VLOOKUP(V30,'宠物升级数值-标准单只'!$A$3:$AD$42,28,FALSE)))*(1+VLOOKUP(V31,宠物升阶数值!$A$2:$B$31,2,FALSE))</f>
        <v>211.45349999999999</v>
      </c>
      <c r="W32" s="41" t="s">
        <v>1</v>
      </c>
      <c r="X32" s="49">
        <f>IF(X23=1,VLOOKUP(X24,英雄升级数值!$H$2:$S$42,2,FALSE),IF(X23=2,VLOOKUP(X24,英雄升级数值!$H$2:$S$42,6,FALSE),VLOOKUP(X24,英雄升级数值!$H$2:$S$42,10,FALSE)))*(1+VLOOKUP(X25,英雄升星数值!$A$3:$G$8,7))+IF(X26=1,英雄装备数值!$D$3*X27*英雄装备数值!$D$42/战力关系!$B$2,IF(X26=2,英雄装备数值!$D$4*X27*英雄装备数值!$D$42/战力关系!$B$2,英雄装备数值!$D$5*X27*英雄装备数值!$D$42/战力关系!$B$2))+VLOOKUP(X28,装备强化数值!$A$2:$B$22,2,FALSE)*X27/3/战力关系!$B$2+IF(X29=1,VLOOKUP(X30,'宠物升级数值-标准单只'!$A$3:$AD$42,8,FALSE),IF(X29=2,VLOOKUP(X30,'宠物升级数值-标准单只'!$A$3:$AD$42,18,FALSE),VLOOKUP(X30,'宠物升级数值-标准单只'!$A$3:$AD$42,28,FALSE)))*(1+VLOOKUP(X31,宠物升阶数值!$A$2:$B$31,2,FALSE))</f>
        <v>207.13100000000003</v>
      </c>
      <c r="Y32" s="48" t="s">
        <v>1</v>
      </c>
      <c r="Z32" s="41">
        <f>IF(Z23=1,VLOOKUP(Z24,英雄升级数值!$H$2:$S$42,2,FALSE),IF(Z23=2,VLOOKUP(Z24,英雄升级数值!$H$2:$S$42,6,FALSE),VLOOKUP(Z24,英雄升级数值!$H$2:$S$42,10,FALSE)))*(1+VLOOKUP(Z25,英雄升星数值!$A$3:$G$8,7))+IF(Z26=1,英雄装备数值!$D$3*Z27*英雄装备数值!$D$42/战力关系!$B$2,IF(Z26=2,英雄装备数值!$D$4*Z27*英雄装备数值!$D$42/战力关系!$B$2,英雄装备数值!$D$5*Z27*英雄装备数值!$D$42/战力关系!$B$2))+VLOOKUP(Z28,装备强化数值!$A$2:$B$22,2,FALSE)*Z27/3/战力关系!$B$2+IF(Z29=1,VLOOKUP(Z30,'宠物升级数值-标准单只'!$A$3:$AD$42,8,FALSE),IF(Z29=2,VLOOKUP(Z30,'宠物升级数值-标准单只'!$A$3:$AD$42,18,FALSE),VLOOKUP(Z30,'宠物升级数值-标准单只'!$A$3:$AD$42,28,FALSE)))*(1+VLOOKUP(Z31,宠物升阶数值!$A$2:$B$31,2,FALSE))</f>
        <v>297.35749999999996</v>
      </c>
      <c r="AA32" s="41" t="s">
        <v>1</v>
      </c>
      <c r="AB32" s="41">
        <f>IF(AB23=1,VLOOKUP(AB24,英雄升级数值!$H$2:$S$42,2,FALSE),IF(AB23=2,VLOOKUP(AB24,英雄升级数值!$H$2:$S$42,6,FALSE),VLOOKUP(AB24,英雄升级数值!$H$2:$S$42,10,FALSE)))*(1+VLOOKUP(AB25,英雄升星数值!$A$3:$G$8,7))+IF(AB26=1,英雄装备数值!$D$3*AB27*英雄装备数值!$D$42/战力关系!$B$2,IF(AB26=2,英雄装备数值!$D$4*AB27*英雄装备数值!$D$42/战力关系!$B$2,英雄装备数值!$D$5*AB27*英雄装备数值!$D$42/战力关系!$B$2))+VLOOKUP(AB28,装备强化数值!$A$2:$B$22,2,FALSE)*AB27/3/战力关系!$B$2+IF(AB29=1,VLOOKUP(AB30,'宠物升级数值-标准单只'!$A$3:$AD$42,8,FALSE),IF(AB29=2,VLOOKUP(AB30,'宠物升级数值-标准单只'!$A$3:$AD$42,18,FALSE),VLOOKUP(AB30,'宠物升级数值-标准单只'!$A$3:$AD$42,28,FALSE)))*(1+VLOOKUP(AB31,宠物升阶数值!$A$2:$B$31,2,FALSE))</f>
        <v>256.54749999999996</v>
      </c>
      <c r="AC32" s="41" t="s">
        <v>1</v>
      </c>
      <c r="AD32" s="49">
        <f>IF(AD23=1,VLOOKUP(AD24,英雄升级数值!$H$2:$S$42,2,FALSE),IF(AD23=2,VLOOKUP(AD24,英雄升级数值!$H$2:$S$42,6,FALSE),VLOOKUP(AD24,英雄升级数值!$H$2:$S$42,10,FALSE)))*(1+VLOOKUP(AD25,英雄升星数值!$A$3:$G$8,7))+IF(AD26=1,英雄装备数值!$D$3*AD27*英雄装备数值!$D$42/战力关系!$B$2,IF(AD26=2,英雄装备数值!$D$4*AD27*英雄装备数值!$D$42/战力关系!$B$2,英雄装备数值!$D$5*AD27*英雄装备数值!$D$42/战力关系!$B$2))+VLOOKUP(AD28,装备强化数值!$A$2:$B$22,2,FALSE)*AD27/3/战力关系!$B$2+IF(AD29=1,VLOOKUP(AD30,'宠物升级数值-标准单只'!$A$3:$AD$42,8,FALSE),IF(AD29=2,VLOOKUP(AD30,'宠物升级数值-标准单只'!$A$3:$AD$42,18,FALSE),VLOOKUP(AD30,'宠物升级数值-标准单只'!$A$3:$AD$42,28,FALSE)))*(1+VLOOKUP(AD31,宠物升阶数值!$A$2:$B$31,2,FALSE))</f>
        <v>233.82600000000002</v>
      </c>
      <c r="AE32" s="48" t="s">
        <v>1</v>
      </c>
      <c r="AF32" s="41">
        <f>IF(AF23=1,VLOOKUP(AF24,英雄升级数值!$H$2:$S$42,2,FALSE),IF(AF23=2,VLOOKUP(AF24,英雄升级数值!$H$2:$S$42,6,FALSE),VLOOKUP(AF24,英雄升级数值!$H$2:$S$42,10,FALSE)))*(1+VLOOKUP(AF25,英雄升星数值!$A$3:$G$8,7))+IF(AF26=1,英雄装备数值!$D$3*AF27*英雄装备数值!$D$42/战力关系!$B$2,IF(AF26=2,英雄装备数值!$D$4*AF27*英雄装备数值!$D$42/战力关系!$B$2,英雄装备数值!$D$5*AF27*英雄装备数值!$D$42/战力关系!$B$2))+VLOOKUP(AF28,装备强化数值!$A$2:$B$22,2,FALSE)*AF27/3/战力关系!$B$2+IF(AF29=1,VLOOKUP(AF30,'宠物升级数值-标准单只'!$A$3:$AD$42,8,FALSE),IF(AF29=2,VLOOKUP(AF30,'宠物升级数值-标准单只'!$A$3:$AD$42,18,FALSE),VLOOKUP(AF30,'宠物升级数值-标准单只'!$A$3:$AD$42,28,FALSE)))*(1+VLOOKUP(AF31,宠物升阶数值!$A$2:$B$31,2,FALSE))</f>
        <v>311.27</v>
      </c>
      <c r="AG32" s="41" t="s">
        <v>1</v>
      </c>
      <c r="AH32" s="41">
        <f>IF(AH23=1,VLOOKUP(AH24,英雄升级数值!$H$2:$S$42,2,FALSE),IF(AH23=2,VLOOKUP(AH24,英雄升级数值!$H$2:$S$42,6,FALSE),VLOOKUP(AH24,英雄升级数值!$H$2:$S$42,10,FALSE)))*(1+VLOOKUP(AH25,英雄升星数值!$A$3:$G$8,7))+IF(AH26=1,英雄装备数值!$D$3*AH27*英雄装备数值!$D$42/战力关系!$B$2,IF(AH26=2,英雄装备数值!$D$4*AH27*英雄装备数值!$D$42/战力关系!$B$2,英雄装备数值!$D$5*AH27*英雄装备数值!$D$42/战力关系!$B$2))+VLOOKUP(AH28,装备强化数值!$A$2:$B$22,2,FALSE)*AH27/3/战力关系!$B$2+IF(AH29=1,VLOOKUP(AH30,'宠物升级数值-标准单只'!$A$3:$AD$42,8,FALSE),IF(AH29=2,VLOOKUP(AH30,'宠物升级数值-标准单只'!$A$3:$AD$42,18,FALSE),VLOOKUP(AH30,'宠物升级数值-标准单只'!$A$3:$AD$42,28,FALSE)))*(1+VLOOKUP(AH31,宠物升阶数值!$A$2:$B$31,2,FALSE))</f>
        <v>265.72449999999998</v>
      </c>
      <c r="AI32" s="41" t="s">
        <v>1</v>
      </c>
      <c r="AJ32" s="49">
        <f>IF(AJ23=1,VLOOKUP(AJ24,英雄升级数值!$H$2:$S$42,2,FALSE),IF(AJ23=2,VLOOKUP(AJ24,英雄升级数值!$H$2:$S$42,6,FALSE),VLOOKUP(AJ24,英雄升级数值!$H$2:$S$42,10,FALSE)))*(1+VLOOKUP(AJ25,英雄升星数值!$A$3:$G$8,7))+IF(AJ26=1,英雄装备数值!$D$3*AJ27*英雄装备数值!$D$42/战力关系!$B$2,IF(AJ26=2,英雄装备数值!$D$4*AJ27*英雄装备数值!$D$42/战力关系!$B$2,英雄装备数值!$D$5*AJ27*英雄装备数值!$D$42/战力关系!$B$2))+VLOOKUP(AJ28,装备强化数值!$A$2:$B$22,2,FALSE)*AJ27/3/战力关系!$B$2+IF(AJ29=1,VLOOKUP(AJ30,'宠物升级数值-标准单只'!$A$3:$AD$42,8,FALSE),IF(AJ29=2,VLOOKUP(AJ30,'宠物升级数值-标准单只'!$A$3:$AD$42,18,FALSE),VLOOKUP(AJ30,'宠物升级数值-标准单只'!$A$3:$AD$42,28,FALSE)))*(1+VLOOKUP(AJ31,宠物升阶数值!$A$2:$B$31,2,FALSE))</f>
        <v>265.72449999999998</v>
      </c>
      <c r="AK32" s="48" t="s">
        <v>1</v>
      </c>
      <c r="AL32" s="41">
        <f>IF(AL23=1,VLOOKUP(AL24,英雄升级数值!$H$2:$S$42,2,FALSE),IF(AL23=2,VLOOKUP(AL24,英雄升级数值!$H$2:$S$42,6,FALSE),VLOOKUP(AL24,英雄升级数值!$H$2:$S$42,10,FALSE)))*(1+VLOOKUP(AL25,英雄升星数值!$A$3:$G$8,7))+IF(AL26=1,英雄装备数值!$D$3*AL27*英雄装备数值!$D$42/战力关系!$B$2,IF(AL26=2,英雄装备数值!$D$4*AL27*英雄装备数值!$D$42/战力关系!$B$2,英雄装备数值!$D$5*AL27*英雄装备数值!$D$42/战力关系!$B$2))+VLOOKUP(AL28,装备强化数值!$A$2:$B$22,2,FALSE)*AL27/3/战力关系!$B$2+IF(AL29=1,VLOOKUP(AL30,'宠物升级数值-标准单只'!$A$3:$AD$42,8,FALSE),IF(AL29=2,VLOOKUP(AL30,'宠物升级数值-标准单只'!$A$3:$AD$42,18,FALSE),VLOOKUP(AL30,'宠物升级数值-标准单只'!$A$3:$AD$42,28,FALSE)))*(1+VLOOKUP(AL31,宠物升阶数值!$A$2:$B$31,2,FALSE))</f>
        <v>348.90000000000003</v>
      </c>
      <c r="AM32" s="41" t="s">
        <v>1</v>
      </c>
      <c r="AN32" s="41">
        <f>IF(AN23=1,VLOOKUP(AN24,英雄升级数值!$H$2:$S$42,2,FALSE),IF(AN23=2,VLOOKUP(AN24,英雄升级数值!$H$2:$S$42,6,FALSE),VLOOKUP(AN24,英雄升级数值!$H$2:$S$42,10,FALSE)))*(1+VLOOKUP(AN25,英雄升星数值!$A$3:$G$8,7))+IF(AN26=1,英雄装备数值!$D$3*AN27*英雄装备数值!$D$42/战力关系!$B$2,IF(AN26=2,英雄装备数值!$D$4*AN27*英雄装备数值!$D$42/战力关系!$B$2,英雄装备数值!$D$5*AN27*英雄装备数值!$D$42/战力关系!$B$2))+VLOOKUP(AN28,装备强化数值!$A$2:$B$22,2,FALSE)*AN27/3/战力关系!$B$2+IF(AN29=1,VLOOKUP(AN30,'宠物升级数值-标准单只'!$A$3:$AD$42,8,FALSE),IF(AN29=2,VLOOKUP(AN30,'宠物升级数值-标准单只'!$A$3:$AD$42,18,FALSE),VLOOKUP(AN30,'宠物升级数值-标准单只'!$A$3:$AD$42,28,FALSE)))*(1+VLOOKUP(AN31,宠物升阶数值!$A$2:$B$31,2,FALSE))</f>
        <v>341.43</v>
      </c>
      <c r="AO32" s="41" t="s">
        <v>1</v>
      </c>
      <c r="AP32" s="49">
        <f>IF(AP23=1,VLOOKUP(AP24,英雄升级数值!$H$2:$S$42,2,FALSE),IF(AP23=2,VLOOKUP(AP24,英雄升级数值!$H$2:$S$42,6,FALSE),VLOOKUP(AP24,英雄升级数值!$H$2:$S$42,10,FALSE)))*(1+VLOOKUP(AP25,英雄升星数值!$A$3:$G$8,7))+IF(AP26=1,英雄装备数值!$D$3*AP27*英雄装备数值!$D$42/战力关系!$B$2,IF(AP26=2,英雄装备数值!$D$4*AP27*英雄装备数值!$D$42/战力关系!$B$2,英雄装备数值!$D$5*AP27*英雄装备数值!$D$42/战力关系!$B$2))+VLOOKUP(AP28,装备强化数值!$A$2:$B$22,2,FALSE)*AP27/3/战力关系!$B$2+IF(AP29=1,VLOOKUP(AP30,'宠物升级数值-标准单只'!$A$3:$AD$42,8,FALSE),IF(AP29=2,VLOOKUP(AP30,'宠物升级数值-标准单只'!$A$3:$AD$42,18,FALSE),VLOOKUP(AP30,'宠物升级数值-标准单只'!$A$3:$AD$42,28,FALSE)))*(1+VLOOKUP(AP31,宠物升阶数值!$A$2:$B$31,2,FALSE))</f>
        <v>291.18049999999999</v>
      </c>
    </row>
    <row r="33" spans="1:42" x14ac:dyDescent="0.3">
      <c r="A33" s="48" t="s">
        <v>2</v>
      </c>
      <c r="B33" s="41">
        <f>IF(B23=1,VLOOKUP(B24,英雄升级数值!$H$2:$S$42,3,FALSE),IF(B23=2,VLOOKUP(B24,英雄升级数值!$H$2:$S$42,7,FALSE),VLOOKUP(B24,英雄升级数值!$H$2:$S$42,11,FALSE)))*(1+VLOOKUP(B25,英雄升星数值!$A$3:$G$8,7))+IF(B26=1,英雄装备数值!$D$3*B27*英雄装备数值!$D$43/战力关系!$B$3,IF(B26=2,英雄装备数值!$D$4*B27*英雄装备数值!$D$43/战力关系!$B$3,英雄装备数值!$D$5*B27*英雄装备数值!$D$43/战力关系!$B$3))+VLOOKUP(B28,装备强化数值!$A$2:$B$22,2,FALSE)*B27/3/战力关系!$B$3+IF(B29=1,VLOOKUP(B30,'宠物升级数值-标准单只'!$A$3:$AD$42,9,FALSE),IF(B29=2,VLOOKUP(B30,'宠物升级数值-标准单只'!$A$3:$AD$42,19,FALSE),VLOOKUP(B30,'宠物升级数值-标准单只'!$A$3:$AD$42,29,FALSE)))*(1+VLOOKUP(B31,宠物升阶数值!$A$2:$B$31,2,FALSE))</f>
        <v>68.827500000000015</v>
      </c>
      <c r="C33" s="41" t="s">
        <v>2</v>
      </c>
      <c r="D33" s="41">
        <f>IF(D23=1,VLOOKUP(D24,英雄升级数值!$H$2:$S$42,3,FALSE),IF(D23=2,VLOOKUP(D24,英雄升级数值!$H$2:$S$42,7,FALSE),VLOOKUP(D24,英雄升级数值!$H$2:$S$42,11,FALSE)))*(1+VLOOKUP(D25,英雄升星数值!$A$3:$G$8,7))+IF(D26=1,英雄装备数值!$D$3*D27*英雄装备数值!$D$43/战力关系!$B$3,IF(D26=2,英雄装备数值!$D$4*D27*英雄装备数值!$D$43/战力关系!$B$3,英雄装备数值!$D$5*D27*英雄装备数值!$D$43/战力关系!$B$3))+VLOOKUP(D28,装备强化数值!$A$2:$B$22,2,FALSE)*D27/3/战力关系!$B$3+IF(D29=1,VLOOKUP(D30,'宠物升级数值-标准单只'!$A$3:$AD$42,9,FALSE),IF(D29=2,VLOOKUP(D30,'宠物升级数值-标准单只'!$A$3:$AD$42,19,FALSE),VLOOKUP(D30,'宠物升级数值-标准单只'!$A$3:$AD$42,29,FALSE)))*(1+VLOOKUP(D31,宠物升阶数值!$A$2:$B$31,2,FALSE))</f>
        <v>51.45</v>
      </c>
      <c r="E33" s="41" t="s">
        <v>2</v>
      </c>
      <c r="F33" s="49">
        <f>IF(F23=1,VLOOKUP(F24,英雄升级数值!$H$2:$S$42,3,FALSE),IF(F23=2,VLOOKUP(F24,英雄升级数值!$H$2:$S$42,7,FALSE),VLOOKUP(F24,英雄升级数值!$H$2:$S$42,11,FALSE)))*(1+VLOOKUP(F25,英雄升星数值!$A$3:$G$8,7))+IF(F26=1,英雄装备数值!$D$3*F27*英雄装备数值!$D$43/战力关系!$B$3,IF(F26=2,英雄装备数值!$D$4*F27*英雄装备数值!$D$43/战力关系!$B$3,英雄装备数值!$D$5*F27*英雄装备数值!$D$43/战力关系!$B$3))+VLOOKUP(F28,装备强化数值!$A$2:$B$22,2,FALSE)*F27/3/战力关系!$B$3+IF(F29=1,VLOOKUP(F30,'宠物升级数值-标准单只'!$A$3:$AD$42,9,FALSE),IF(F29=2,VLOOKUP(F30,'宠物升级数值-标准单只'!$A$3:$AD$42,19,FALSE),VLOOKUP(F30,'宠物升级数值-标准单只'!$A$3:$AD$42,29,FALSE)))*(1+VLOOKUP(F31,宠物升阶数值!$A$2:$B$31,2,FALSE))</f>
        <v>51.45</v>
      </c>
      <c r="G33" s="45" t="s">
        <v>2</v>
      </c>
      <c r="H33" s="41">
        <f>IF(H23=1,VLOOKUP(H24,英雄升级数值!$H$2:$S$42,3,FALSE),IF(H23=2,VLOOKUP(H24,英雄升级数值!$H$2:$S$42,7,FALSE),VLOOKUP(H24,英雄升级数值!$H$2:$S$42,11,FALSE)))*(1+VLOOKUP(H25,英雄升星数值!$A$3:$G$8,7))+IF(H26=1,英雄装备数值!$D$3*H27*英雄装备数值!$D$43/战力关系!$B$3,IF(H26=2,英雄装备数值!$D$4*H27*英雄装备数值!$D$43/战力关系!$B$3,英雄装备数值!$D$5*H27*英雄装备数值!$D$43/战力关系!$B$3))+VLOOKUP(H28,装备强化数值!$A$2:$B$22,2,FALSE)*H27/3/战力关系!$B$3+IF(H29=1,VLOOKUP(H30,'宠物升级数值-标准单只'!$A$3:$AD$42,9,FALSE),IF(H29=2,VLOOKUP(H30,'宠物升级数值-标准单只'!$A$3:$AD$42,19,FALSE),VLOOKUP(H30,'宠物升级数值-标准单只'!$A$3:$AD$42,29,FALSE)))*(1+VLOOKUP(H31,宠物升阶数值!$A$2:$B$31,2,FALSE))</f>
        <v>107.63600000000002</v>
      </c>
      <c r="I33" s="41" t="s">
        <v>2</v>
      </c>
      <c r="J33" s="41">
        <f>IF(J23=1,VLOOKUP(J24,英雄升级数值!$H$2:$S$42,3,FALSE),IF(J23=2,VLOOKUP(J24,英雄升级数值!$H$2:$S$42,7,FALSE),VLOOKUP(J24,英雄升级数值!$H$2:$S$42,11,FALSE)))*(1+VLOOKUP(J25,英雄升星数值!$A$3:$G$8,7))+IF(J26=1,英雄装备数值!$D$3*J27*英雄装备数值!$D$43/战力关系!$B$3,IF(J26=2,英雄装备数值!$D$4*J27*英雄装备数值!$D$43/战力关系!$B$3,英雄装备数值!$D$5*J27*英雄装备数值!$D$43/战力关系!$B$3))+VLOOKUP(J28,装备强化数值!$A$2:$B$22,2,FALSE)*J27/3/战力关系!$B$3+IF(J29=1,VLOOKUP(J30,'宠物升级数值-标准单只'!$A$3:$AD$42,9,FALSE),IF(J29=2,VLOOKUP(J30,'宠物升级数值-标准单只'!$A$3:$AD$42,19,FALSE),VLOOKUP(J30,'宠物升级数值-标准单只'!$A$3:$AD$42,29,FALSE)))*(1+VLOOKUP(J31,宠物升阶数值!$A$2:$B$31,2,FALSE))</f>
        <v>99.785500000000013</v>
      </c>
      <c r="K33" s="41" t="s">
        <v>2</v>
      </c>
      <c r="L33" s="49">
        <f>IF(L23=1,VLOOKUP(L24,英雄升级数值!$H$2:$S$42,3,FALSE),IF(L23=2,VLOOKUP(L24,英雄升级数值!$H$2:$S$42,7,FALSE),VLOOKUP(L24,英雄升级数值!$H$2:$S$42,11,FALSE)))*(1+VLOOKUP(L25,英雄升星数值!$A$3:$G$8,7))+IF(L26=1,英雄装备数值!$D$3*L27*英雄装备数值!$D$43/战力关系!$B$3,IF(L26=2,英雄装备数值!$D$4*L27*英雄装备数值!$D$43/战力关系!$B$3,英雄装备数值!$D$5*L27*英雄装备数值!$D$43/战力关系!$B$3))+VLOOKUP(L28,装备强化数值!$A$2:$B$22,2,FALSE)*L27/3/战力关系!$B$3+IF(L29=1,VLOOKUP(L30,'宠物升级数值-标准单只'!$A$3:$AD$42,9,FALSE),IF(L29=2,VLOOKUP(L30,'宠物升级数值-标准单只'!$A$3:$AD$42,19,FALSE),VLOOKUP(L30,'宠物升级数值-标准单只'!$A$3:$AD$42,29,FALSE)))*(1+VLOOKUP(L31,宠物升阶数值!$A$2:$B$31,2,FALSE))</f>
        <v>83.5</v>
      </c>
      <c r="M33" s="48" t="s">
        <v>2</v>
      </c>
      <c r="N33" s="41">
        <f>IF(N23=1,VLOOKUP(N24,英雄升级数值!$H$2:$S$42,3,FALSE),IF(N23=2,VLOOKUP(N24,英雄升级数值!$H$2:$S$42,7,FALSE),VLOOKUP(N24,英雄升级数值!$H$2:$S$42,11,FALSE)))*(1+VLOOKUP(N25,英雄升星数值!$A$3:$G$8,7))+IF(N26=1,英雄装备数值!$D$3*N27*英雄装备数值!$D$43/战力关系!$B$3,IF(N26=2,英雄装备数值!$D$4*N27*英雄装备数值!$D$43/战力关系!$B$3,英雄装备数值!$D$5*N27*英雄装备数值!$D$43/战力关系!$B$3))+VLOOKUP(N28,装备强化数值!$A$2:$B$22,2,FALSE)*N27/3/战力关系!$B$3+IF(N29=1,VLOOKUP(N30,'宠物升级数值-标准单只'!$A$3:$AD$42,9,FALSE),IF(N29=2,VLOOKUP(N30,'宠物升级数值-标准单只'!$A$3:$AD$42,19,FALSE),VLOOKUP(N30,'宠物升级数值-标准单只'!$A$3:$AD$42,29,FALSE)))*(1+VLOOKUP(N31,宠物升阶数值!$A$2:$B$31,2,FALSE))</f>
        <v>228.73350000000002</v>
      </c>
      <c r="O33" s="41" t="s">
        <v>2</v>
      </c>
      <c r="P33" s="41">
        <f>IF(P23=1,VLOOKUP(P24,英雄升级数值!$H$2:$S$42,3,FALSE),IF(P23=2,VLOOKUP(P24,英雄升级数值!$H$2:$S$42,7,FALSE),VLOOKUP(P24,英雄升级数值!$H$2:$S$42,11,FALSE)))*(1+VLOOKUP(P25,英雄升星数值!$A$3:$G$8,7))+IF(P26=1,英雄装备数值!$D$3*P27*英雄装备数值!$D$43/战力关系!$B$3,IF(P26=2,英雄装备数值!$D$4*P27*英雄装备数值!$D$43/战力关系!$B$3,英雄装备数值!$D$5*P27*英雄装备数值!$D$43/战力关系!$B$3))+VLOOKUP(P28,装备强化数值!$A$2:$B$22,2,FALSE)*P27/3/战力关系!$B$3+IF(P29=1,VLOOKUP(P30,'宠物升级数值-标准单只'!$A$3:$AD$42,9,FALSE),IF(P29=2,VLOOKUP(P30,'宠物升级数值-标准单只'!$A$3:$AD$42,19,FALSE),VLOOKUP(P30,'宠物升级数值-标准单只'!$A$3:$AD$42,29,FALSE)))*(1+VLOOKUP(P31,宠物升阶数值!$A$2:$B$31,2,FALSE))</f>
        <v>184.92100000000002</v>
      </c>
      <c r="Q33" s="41" t="s">
        <v>2</v>
      </c>
      <c r="R33" s="49">
        <f>IF(R23=1,VLOOKUP(R24,英雄升级数值!$H$2:$S$42,3,FALSE),IF(R23=2,VLOOKUP(R24,英雄升级数值!$H$2:$S$42,7,FALSE),VLOOKUP(R24,英雄升级数值!$H$2:$S$42,11,FALSE)))*(1+VLOOKUP(R25,英雄升星数值!$A$3:$G$8,7))+IF(R26=1,英雄装备数值!$D$3*R27*英雄装备数值!$D$43/战力关系!$B$3,IF(R26=2,英雄装备数值!$D$4*R27*英雄装备数值!$D$43/战力关系!$B$3,英雄装备数值!$D$5*R27*英雄装备数值!$D$43/战力关系!$B$3))+VLOOKUP(R28,装备强化数值!$A$2:$B$22,2,FALSE)*R27/3/战力关系!$B$3+IF(R29=1,VLOOKUP(R30,'宠物升级数值-标准单只'!$A$3:$AD$42,9,FALSE),IF(R29=2,VLOOKUP(R30,'宠物升级数值-标准单只'!$A$3:$AD$42,19,FALSE),VLOOKUP(R30,'宠物升级数值-标准单只'!$A$3:$AD$42,29,FALSE)))*(1+VLOOKUP(R31,宠物升阶数值!$A$2:$B$31,2,FALSE))</f>
        <v>177.39700000000002</v>
      </c>
      <c r="S33" s="48" t="s">
        <v>2</v>
      </c>
      <c r="T33" s="41">
        <f>IF(T23=1,VLOOKUP(T24,英雄升级数值!$H$2:$S$42,3,FALSE),IF(T23=2,VLOOKUP(T24,英雄升级数值!$H$2:$S$42,7,FALSE),VLOOKUP(T24,英雄升级数值!$H$2:$S$42,11,FALSE)))*(1+VLOOKUP(T25,英雄升星数值!$A$3:$G$8,7))+IF(T26=1,英雄装备数值!$D$3*T27*英雄装备数值!$D$43/战力关系!$B$3,IF(T26=2,英雄装备数值!$D$4*T27*英雄装备数值!$D$43/战力关系!$B$3,英雄装备数值!$D$5*T27*英雄装备数值!$D$43/战力关系!$B$3))+VLOOKUP(T28,装备强化数值!$A$2:$B$22,2,FALSE)*T27/3/战力关系!$B$3+IF(T29=1,VLOOKUP(T30,'宠物升级数值-标准单只'!$A$3:$AD$42,9,FALSE),IF(T29=2,VLOOKUP(T30,'宠物升级数值-标准单只'!$A$3:$AD$42,19,FALSE),VLOOKUP(T30,'宠物升级数值-标准单只'!$A$3:$AD$42,29,FALSE)))*(1+VLOOKUP(T31,宠物升阶数值!$A$2:$B$31,2,FALSE))</f>
        <v>254.524</v>
      </c>
      <c r="U33" s="41" t="s">
        <v>2</v>
      </c>
      <c r="V33" s="41">
        <f>IF(V23=1,VLOOKUP(V24,英雄升级数值!$H$2:$S$42,3,FALSE),IF(V23=2,VLOOKUP(V24,英雄升级数值!$H$2:$S$42,7,FALSE),VLOOKUP(V24,英雄升级数值!$H$2:$S$42,11,FALSE)))*(1+VLOOKUP(V25,英雄升星数值!$A$3:$G$8,7))+IF(V26=1,英雄装备数值!$D$3*V27*英雄装备数值!$D$43/战力关系!$B$3,IF(V26=2,英雄装备数值!$D$4*V27*英雄装备数值!$D$43/战力关系!$B$3,英雄装备数值!$D$5*V27*英雄装备数值!$D$43/战力关系!$B$3))+VLOOKUP(V28,装备强化数值!$A$2:$B$22,2,FALSE)*V27/3/战力关系!$B$3+IF(V29=1,VLOOKUP(V30,'宠物升级数值-标准单只'!$A$3:$AD$42,9,FALSE),IF(V29=2,VLOOKUP(V30,'宠物升级数值-标准单只'!$A$3:$AD$42,19,FALSE),VLOOKUP(V30,'宠物升级数值-标准单只'!$A$3:$AD$42,29,FALSE)))*(1+VLOOKUP(V31,宠物升阶数值!$A$2:$B$31,2,FALSE))</f>
        <v>211.45349999999999</v>
      </c>
      <c r="W33" s="41" t="s">
        <v>2</v>
      </c>
      <c r="X33" s="49">
        <f>IF(X23=1,VLOOKUP(X24,英雄升级数值!$H$2:$S$42,3,FALSE),IF(X23=2,VLOOKUP(X24,英雄升级数值!$H$2:$S$42,7,FALSE),VLOOKUP(X24,英雄升级数值!$H$2:$S$42,11,FALSE)))*(1+VLOOKUP(X25,英雄升星数值!$A$3:$G$8,7))+IF(X26=1,英雄装备数值!$D$3*X27*英雄装备数值!$D$43/战力关系!$B$3,IF(X26=2,英雄装备数值!$D$4*X27*英雄装备数值!$D$43/战力关系!$B$3,英雄装备数值!$D$5*X27*英雄装备数值!$D$43/战力关系!$B$3))+VLOOKUP(X28,装备强化数值!$A$2:$B$22,2,FALSE)*X27/3/战力关系!$B$3+IF(X29=1,VLOOKUP(X30,'宠物升级数值-标准单只'!$A$3:$AD$42,9,FALSE),IF(X29=2,VLOOKUP(X30,'宠物升级数值-标准单只'!$A$3:$AD$42,19,FALSE),VLOOKUP(X30,'宠物升级数值-标准单只'!$A$3:$AD$42,29,FALSE)))*(1+VLOOKUP(X31,宠物升阶数值!$A$2:$B$31,2,FALSE))</f>
        <v>207.13100000000003</v>
      </c>
      <c r="Y33" s="48" t="s">
        <v>2</v>
      </c>
      <c r="Z33" s="41">
        <f>IF(Z23=1,VLOOKUP(Z24,英雄升级数值!$H$2:$S$42,3,FALSE),IF(Z23=2,VLOOKUP(Z24,英雄升级数值!$H$2:$S$42,7,FALSE),VLOOKUP(Z24,英雄升级数值!$H$2:$S$42,11,FALSE)))*(1+VLOOKUP(Z25,英雄升星数值!$A$3:$G$8,7))+IF(Z26=1,英雄装备数值!$D$3*Z27*英雄装备数值!$D$43/战力关系!$B$3,IF(Z26=2,英雄装备数值!$D$4*Z27*英雄装备数值!$D$43/战力关系!$B$3,英雄装备数值!$D$5*Z27*英雄装备数值!$D$43/战力关系!$B$3))+VLOOKUP(Z28,装备强化数值!$A$2:$B$22,2,FALSE)*Z27/3/战力关系!$B$3+IF(Z29=1,VLOOKUP(Z30,'宠物升级数值-标准单只'!$A$3:$AD$42,9,FALSE),IF(Z29=2,VLOOKUP(Z30,'宠物升级数值-标准单只'!$A$3:$AD$42,19,FALSE),VLOOKUP(Z30,'宠物升级数值-标准单只'!$A$3:$AD$42,29,FALSE)))*(1+VLOOKUP(Z31,宠物升阶数值!$A$2:$B$31,2,FALSE))</f>
        <v>297.35749999999996</v>
      </c>
      <c r="AA33" s="41" t="s">
        <v>2</v>
      </c>
      <c r="AB33" s="41">
        <f>IF(AB23=1,VLOOKUP(AB24,英雄升级数值!$H$2:$S$42,3,FALSE),IF(AB23=2,VLOOKUP(AB24,英雄升级数值!$H$2:$S$42,7,FALSE),VLOOKUP(AB24,英雄升级数值!$H$2:$S$42,11,FALSE)))*(1+VLOOKUP(AB25,英雄升星数值!$A$3:$G$8,7))+IF(AB26=1,英雄装备数值!$D$3*AB27*英雄装备数值!$D$43/战力关系!$B$3,IF(AB26=2,英雄装备数值!$D$4*AB27*英雄装备数值!$D$43/战力关系!$B$3,英雄装备数值!$D$5*AB27*英雄装备数值!$D$43/战力关系!$B$3))+VLOOKUP(AB28,装备强化数值!$A$2:$B$22,2,FALSE)*AB27/3/战力关系!$B$3+IF(AB29=1,VLOOKUP(AB30,'宠物升级数值-标准单只'!$A$3:$AD$42,9,FALSE),IF(AB29=2,VLOOKUP(AB30,'宠物升级数值-标准单只'!$A$3:$AD$42,19,FALSE),VLOOKUP(AB30,'宠物升级数值-标准单只'!$A$3:$AD$42,29,FALSE)))*(1+VLOOKUP(AB31,宠物升阶数值!$A$2:$B$31,2,FALSE))</f>
        <v>256.54749999999996</v>
      </c>
      <c r="AC33" s="41" t="s">
        <v>2</v>
      </c>
      <c r="AD33" s="49">
        <f>IF(AD23=1,VLOOKUP(AD24,英雄升级数值!$H$2:$S$42,3,FALSE),IF(AD23=2,VLOOKUP(AD24,英雄升级数值!$H$2:$S$42,7,FALSE),VLOOKUP(AD24,英雄升级数值!$H$2:$S$42,11,FALSE)))*(1+VLOOKUP(AD25,英雄升星数值!$A$3:$G$8,7))+IF(AD26=1,英雄装备数值!$D$3*AD27*英雄装备数值!$D$43/战力关系!$B$3,IF(AD26=2,英雄装备数值!$D$4*AD27*英雄装备数值!$D$43/战力关系!$B$3,英雄装备数值!$D$5*AD27*英雄装备数值!$D$43/战力关系!$B$3))+VLOOKUP(AD28,装备强化数值!$A$2:$B$22,2,FALSE)*AD27/3/战力关系!$B$3+IF(AD29=1,VLOOKUP(AD30,'宠物升级数值-标准单只'!$A$3:$AD$42,9,FALSE),IF(AD29=2,VLOOKUP(AD30,'宠物升级数值-标准单只'!$A$3:$AD$42,19,FALSE),VLOOKUP(AD30,'宠物升级数值-标准单只'!$A$3:$AD$42,29,FALSE)))*(1+VLOOKUP(AD31,宠物升阶数值!$A$2:$B$31,2,FALSE))</f>
        <v>233.82600000000002</v>
      </c>
      <c r="AE33" s="48" t="s">
        <v>2</v>
      </c>
      <c r="AF33" s="41">
        <f>IF(AF23=1,VLOOKUP(AF24,英雄升级数值!$H$2:$S$42,3,FALSE),IF(AF23=2,VLOOKUP(AF24,英雄升级数值!$H$2:$S$42,7,FALSE),VLOOKUP(AF24,英雄升级数值!$H$2:$S$42,11,FALSE)))*(1+VLOOKUP(AF25,英雄升星数值!$A$3:$G$8,7))+IF(AF26=1,英雄装备数值!$D$3*AF27*英雄装备数值!$D$43/战力关系!$B$3,IF(AF26=2,英雄装备数值!$D$4*AF27*英雄装备数值!$D$43/战力关系!$B$3,英雄装备数值!$D$5*AF27*英雄装备数值!$D$43/战力关系!$B$3))+VLOOKUP(AF28,装备强化数值!$A$2:$B$22,2,FALSE)*AF27/3/战力关系!$B$3+IF(AF29=1,VLOOKUP(AF30,'宠物升级数值-标准单只'!$A$3:$AD$42,9,FALSE),IF(AF29=2,VLOOKUP(AF30,'宠物升级数值-标准单只'!$A$3:$AD$42,19,FALSE),VLOOKUP(AF30,'宠物升级数值-标准单只'!$A$3:$AD$42,29,FALSE)))*(1+VLOOKUP(AF31,宠物升阶数值!$A$2:$B$31,2,FALSE))</f>
        <v>311.27</v>
      </c>
      <c r="AG33" s="41" t="s">
        <v>2</v>
      </c>
      <c r="AH33" s="41">
        <f>IF(AH23=1,VLOOKUP(AH24,英雄升级数值!$H$2:$S$42,3,FALSE),IF(AH23=2,VLOOKUP(AH24,英雄升级数值!$H$2:$S$42,7,FALSE),VLOOKUP(AH24,英雄升级数值!$H$2:$S$42,11,FALSE)))*(1+VLOOKUP(AH25,英雄升星数值!$A$3:$G$8,7))+IF(AH26=1,英雄装备数值!$D$3*AH27*英雄装备数值!$D$43/战力关系!$B$3,IF(AH26=2,英雄装备数值!$D$4*AH27*英雄装备数值!$D$43/战力关系!$B$3,英雄装备数值!$D$5*AH27*英雄装备数值!$D$43/战力关系!$B$3))+VLOOKUP(AH28,装备强化数值!$A$2:$B$22,2,FALSE)*AH27/3/战力关系!$B$3+IF(AH29=1,VLOOKUP(AH30,'宠物升级数值-标准单只'!$A$3:$AD$42,9,FALSE),IF(AH29=2,VLOOKUP(AH30,'宠物升级数值-标准单只'!$A$3:$AD$42,19,FALSE),VLOOKUP(AH30,'宠物升级数值-标准单只'!$A$3:$AD$42,29,FALSE)))*(1+VLOOKUP(AH31,宠物升阶数值!$A$2:$B$31,2,FALSE))</f>
        <v>265.72449999999998</v>
      </c>
      <c r="AI33" s="41" t="s">
        <v>2</v>
      </c>
      <c r="AJ33" s="49">
        <f>IF(AJ23=1,VLOOKUP(AJ24,英雄升级数值!$H$2:$S$42,3,FALSE),IF(AJ23=2,VLOOKUP(AJ24,英雄升级数值!$H$2:$S$42,7,FALSE),VLOOKUP(AJ24,英雄升级数值!$H$2:$S$42,11,FALSE)))*(1+VLOOKUP(AJ25,英雄升星数值!$A$3:$G$8,7))+IF(AJ26=1,英雄装备数值!$D$3*AJ27*英雄装备数值!$D$43/战力关系!$B$3,IF(AJ26=2,英雄装备数值!$D$4*AJ27*英雄装备数值!$D$43/战力关系!$B$3,英雄装备数值!$D$5*AJ27*英雄装备数值!$D$43/战力关系!$B$3))+VLOOKUP(AJ28,装备强化数值!$A$2:$B$22,2,FALSE)*AJ27/3/战力关系!$B$3+IF(AJ29=1,VLOOKUP(AJ30,'宠物升级数值-标准单只'!$A$3:$AD$42,9,FALSE),IF(AJ29=2,VLOOKUP(AJ30,'宠物升级数值-标准单只'!$A$3:$AD$42,19,FALSE),VLOOKUP(AJ30,'宠物升级数值-标准单只'!$A$3:$AD$42,29,FALSE)))*(1+VLOOKUP(AJ31,宠物升阶数值!$A$2:$B$31,2,FALSE))</f>
        <v>265.72449999999998</v>
      </c>
      <c r="AK33" s="48" t="s">
        <v>2</v>
      </c>
      <c r="AL33" s="41">
        <f>IF(AL23=1,VLOOKUP(AL24,英雄升级数值!$H$2:$S$42,3,FALSE),IF(AL23=2,VLOOKUP(AL24,英雄升级数值!$H$2:$S$42,7,FALSE),VLOOKUP(AL24,英雄升级数值!$H$2:$S$42,11,FALSE)))*(1+VLOOKUP(AL25,英雄升星数值!$A$3:$G$8,7))+IF(AL26=1,英雄装备数值!$D$3*AL27*英雄装备数值!$D$43/战力关系!$B$3,IF(AL26=2,英雄装备数值!$D$4*AL27*英雄装备数值!$D$43/战力关系!$B$3,英雄装备数值!$D$5*AL27*英雄装备数值!$D$43/战力关系!$B$3))+VLOOKUP(AL28,装备强化数值!$A$2:$B$22,2,FALSE)*AL27/3/战力关系!$B$3+IF(AL29=1,VLOOKUP(AL30,'宠物升级数值-标准单只'!$A$3:$AD$42,9,FALSE),IF(AL29=2,VLOOKUP(AL30,'宠物升级数值-标准单只'!$A$3:$AD$42,19,FALSE),VLOOKUP(AL30,'宠物升级数值-标准单只'!$A$3:$AD$42,29,FALSE)))*(1+VLOOKUP(AL31,宠物升阶数值!$A$2:$B$31,2,FALSE))</f>
        <v>348.90000000000003</v>
      </c>
      <c r="AM33" s="41" t="s">
        <v>2</v>
      </c>
      <c r="AN33" s="41">
        <f>IF(AN23=1,VLOOKUP(AN24,英雄升级数值!$H$2:$S$42,3,FALSE),IF(AN23=2,VLOOKUP(AN24,英雄升级数值!$H$2:$S$42,7,FALSE),VLOOKUP(AN24,英雄升级数值!$H$2:$S$42,11,FALSE)))*(1+VLOOKUP(AN25,英雄升星数值!$A$3:$G$8,7))+IF(AN26=1,英雄装备数值!$D$3*AN27*英雄装备数值!$D$43/战力关系!$B$3,IF(AN26=2,英雄装备数值!$D$4*AN27*英雄装备数值!$D$43/战力关系!$B$3,英雄装备数值!$D$5*AN27*英雄装备数值!$D$43/战力关系!$B$3))+VLOOKUP(AN28,装备强化数值!$A$2:$B$22,2,FALSE)*AN27/3/战力关系!$B$3+IF(AN29=1,VLOOKUP(AN30,'宠物升级数值-标准单只'!$A$3:$AD$42,9,FALSE),IF(AN29=2,VLOOKUP(AN30,'宠物升级数值-标准单只'!$A$3:$AD$42,19,FALSE),VLOOKUP(AN30,'宠物升级数值-标准单只'!$A$3:$AD$42,29,FALSE)))*(1+VLOOKUP(AN31,宠物升阶数值!$A$2:$B$31,2,FALSE))</f>
        <v>341.43</v>
      </c>
      <c r="AO33" s="41" t="s">
        <v>2</v>
      </c>
      <c r="AP33" s="49">
        <f>IF(AP23=1,VLOOKUP(AP24,英雄升级数值!$H$2:$S$42,3,FALSE),IF(AP23=2,VLOOKUP(AP24,英雄升级数值!$H$2:$S$42,7,FALSE),VLOOKUP(AP24,英雄升级数值!$H$2:$S$42,11,FALSE)))*(1+VLOOKUP(AP25,英雄升星数值!$A$3:$G$8,7))+IF(AP26=1,英雄装备数值!$D$3*AP27*英雄装备数值!$D$43/战力关系!$B$3,IF(AP26=2,英雄装备数值!$D$4*AP27*英雄装备数值!$D$43/战力关系!$B$3,英雄装备数值!$D$5*AP27*英雄装备数值!$D$43/战力关系!$B$3))+VLOOKUP(AP28,装备强化数值!$A$2:$B$22,2,FALSE)*AP27/3/战力关系!$B$3+IF(AP29=1,VLOOKUP(AP30,'宠物升级数值-标准单只'!$A$3:$AD$42,9,FALSE),IF(AP29=2,VLOOKUP(AP30,'宠物升级数值-标准单只'!$A$3:$AD$42,19,FALSE),VLOOKUP(AP30,'宠物升级数值-标准单只'!$A$3:$AD$42,29,FALSE)))*(1+VLOOKUP(AP31,宠物升阶数值!$A$2:$B$31,2,FALSE))</f>
        <v>291.18049999999999</v>
      </c>
    </row>
    <row r="34" spans="1:42" x14ac:dyDescent="0.3">
      <c r="A34" s="48" t="s">
        <v>3</v>
      </c>
      <c r="B34" s="41">
        <f>IF(B23=1,VLOOKUP(B24,英雄升级数值!$H$2:$S$42,4,FALSE),IF(B23=2,VLOOKUP(B24,英雄升级数值!$H$2:$S$42,8,FALSE),VLOOKUP(B24,英雄升级数值!$H$2:$S$42,12,FALSE)))*(1+VLOOKUP(B25,英雄升星数值!$A$3:$G$8,7))+IF(B26=1,英雄装备数值!$D$3*B27*英雄装备数值!$D$44/战力关系!$B$4,IF(B26=2,英雄装备数值!$D$4*B27*英雄装备数值!$D$44/战力关系!$B$4,英雄装备数值!$D$5*B27*英雄装备数值!$D$44/战力关系!$B$4))+VLOOKUP(B28,装备强化数值!$A$2:$B$22,2,FALSE)*B27/3/战力关系!$B$4+IF(B29=1,VLOOKUP(B30,'宠物升级数值-标准单只'!$A$3:$AD$42,10,FALSE),IF(B29=2,VLOOKUP(B30,'宠物升级数值-标准单只'!$A$3:$AD$42,20,FALSE),VLOOKUP(B30,'宠物升级数值-标准单只'!$A$3:$AD$42,30,FALSE)))*(1+VLOOKUP(B31,宠物升阶数值!$A$2:$B$31,2,FALSE))</f>
        <v>1802.5875000000001</v>
      </c>
      <c r="C34" s="41" t="s">
        <v>3</v>
      </c>
      <c r="D34" s="41">
        <f>IF(D23=1,VLOOKUP(D24,英雄升级数值!$H$2:$S$42,4,FALSE),IF(D23=2,VLOOKUP(D24,英雄升级数值!$H$2:$S$42,8,FALSE),VLOOKUP(D24,英雄升级数值!$H$2:$S$42,12,FALSE)))*(1+VLOOKUP(D25,英雄升星数值!$A$3:$G$8,7))+IF(D26=1,英雄装备数值!$D$3*D27*英雄装备数值!$D$44/战力关系!$B$4,IF(D26=2,英雄装备数值!$D$4*D27*英雄装备数值!$D$44/战力关系!$B$4,英雄装备数值!$D$5*D27*英雄装备数值!$D$44/战力关系!$B$4))+VLOOKUP(D28,装备强化数值!$A$2:$B$22,2,FALSE)*D27/3/战力关系!$B$4+IF(D29=1,VLOOKUP(D30,'宠物升级数值-标准单只'!$A$3:$AD$42,10,FALSE),IF(D29=2,VLOOKUP(D30,'宠物升级数值-标准单只'!$A$3:$AD$42,20,FALSE),VLOOKUP(D30,'宠物升级数值-标准单只'!$A$3:$AD$42,30,FALSE)))*(1+VLOOKUP(D31,宠物升阶数值!$A$2:$B$31,2,FALSE))</f>
        <v>1349.25</v>
      </c>
      <c r="E34" s="41" t="s">
        <v>3</v>
      </c>
      <c r="F34" s="49">
        <f>IF(F23=1,VLOOKUP(F24,英雄升级数值!$H$2:$S$42,4,FALSE),IF(F23=2,VLOOKUP(F24,英雄升级数值!$H$2:$S$42,8,FALSE),VLOOKUP(F24,英雄升级数值!$H$2:$S$42,12,FALSE)))*(1+VLOOKUP(F25,英雄升星数值!$A$3:$G$8,7))+IF(F26=1,英雄装备数值!$D$3*F27*英雄装备数值!$D$44/战力关系!$B$4,IF(F26=2,英雄装备数值!$D$4*F27*英雄装备数值!$D$44/战力关系!$B$4,英雄装备数值!$D$5*F27*英雄装备数值!$D$44/战力关系!$B$4))+VLOOKUP(F28,装备强化数值!$A$2:$B$22,2,FALSE)*F27/3/战力关系!$B$4+IF(F29=1,VLOOKUP(F30,'宠物升级数值-标准单只'!$A$3:$AD$42,10,FALSE),IF(F29=2,VLOOKUP(F30,'宠物升级数值-标准单只'!$A$3:$AD$42,20,FALSE),VLOOKUP(F30,'宠物升级数值-标准单只'!$A$3:$AD$42,30,FALSE)))*(1+VLOOKUP(F31,宠物升阶数值!$A$2:$B$31,2,FALSE))</f>
        <v>1349.25</v>
      </c>
      <c r="G34" s="45" t="s">
        <v>3</v>
      </c>
      <c r="H34" s="41">
        <f>IF(H23=1,VLOOKUP(H24,英雄升级数值!$H$2:$S$42,4,FALSE),IF(H23=2,VLOOKUP(H24,英雄升级数值!$H$2:$S$42,8,FALSE),VLOOKUP(H24,英雄升级数值!$H$2:$S$42,12,FALSE)))*(1+VLOOKUP(H25,英雄升星数值!$A$3:$G$8,7))+IF(H26=1,英雄装备数值!$D$3*H27*英雄装备数值!$D$44/战力关系!$B$4,IF(H26=2,英雄装备数值!$D$4*H27*英雄装备数值!$D$44/战力关系!$B$4,英雄装备数值!$D$5*H27*英雄装备数值!$D$44/战力关系!$B$4))+VLOOKUP(H28,装备强化数值!$A$2:$B$22,2,FALSE)*H27/3/战力关系!$B$4+IF(H29=1,VLOOKUP(H30,'宠物升级数值-标准单只'!$A$3:$AD$42,10,FALSE),IF(H29=2,VLOOKUP(H30,'宠物升级数值-标准单只'!$A$3:$AD$42,20,FALSE),VLOOKUP(H30,'宠物升级数值-标准单只'!$A$3:$AD$42,30,FALSE)))*(1+VLOOKUP(H31,宠物升阶数值!$A$2:$B$31,2,FALSE))</f>
        <v>2793.2750000000005</v>
      </c>
      <c r="I34" s="41" t="s">
        <v>3</v>
      </c>
      <c r="J34" s="41">
        <f>IF(J23=1,VLOOKUP(J24,英雄升级数值!$H$2:$S$42,4,FALSE),IF(J23=2,VLOOKUP(J24,英雄升级数值!$H$2:$S$42,8,FALSE),VLOOKUP(J24,英雄升级数值!$H$2:$S$42,12,FALSE)))*(1+VLOOKUP(J25,英雄升星数值!$A$3:$G$8,7))+IF(J26=1,英雄装备数值!$D$3*J27*英雄装备数值!$D$44/战力关系!$B$4,IF(J26=2,英雄装备数值!$D$4*J27*英雄装备数值!$D$44/战力关系!$B$4,英雄装备数值!$D$5*J27*英雄装备数值!$D$44/战力关系!$B$4))+VLOOKUP(J28,装备强化数值!$A$2:$B$22,2,FALSE)*J27/3/战力关系!$B$4+IF(J29=1,VLOOKUP(J30,'宠物升级数值-标准单只'!$A$3:$AD$42,10,FALSE),IF(J29=2,VLOOKUP(J30,'宠物升级数值-标准单只'!$A$3:$AD$42,20,FALSE),VLOOKUP(J30,'宠物升级数值-标准单只'!$A$3:$AD$42,30,FALSE)))*(1+VLOOKUP(J31,宠物升阶数值!$A$2:$B$31,2,FALSE))</f>
        <v>2573.3875000000003</v>
      </c>
      <c r="K34" s="41" t="s">
        <v>3</v>
      </c>
      <c r="L34" s="49">
        <f>IF(L23=1,VLOOKUP(L24,英雄升级数值!$H$2:$S$42,4,FALSE),IF(L23=2,VLOOKUP(L24,英雄升级数值!$H$2:$S$42,8,FALSE),VLOOKUP(L24,英雄升级数值!$H$2:$S$42,12,FALSE)))*(1+VLOOKUP(L25,英雄升星数值!$A$3:$G$8,7))+IF(L26=1,英雄装备数值!$D$3*L27*英雄装备数值!$D$44/战力关系!$B$4,IF(L26=2,英雄装备数值!$D$4*L27*英雄装备数值!$D$44/战力关系!$B$4,英雄装备数值!$D$5*L27*英雄装备数值!$D$44/战力关系!$B$4))+VLOOKUP(L28,装备强化数值!$A$2:$B$22,2,FALSE)*L27/3/战力关系!$B$4+IF(L29=1,VLOOKUP(L30,'宠物升级数值-标准单只'!$A$3:$AD$42,10,FALSE),IF(L29=2,VLOOKUP(L30,'宠物升级数值-标准单只'!$A$3:$AD$42,20,FALSE),VLOOKUP(L30,'宠物升级数值-标准单只'!$A$3:$AD$42,30,FALSE)))*(1+VLOOKUP(L31,宠物升阶数值!$A$2:$B$31,2,FALSE))</f>
        <v>2166.25</v>
      </c>
      <c r="M34" s="48" t="s">
        <v>3</v>
      </c>
      <c r="N34" s="41">
        <f>IF(N23=1,VLOOKUP(N24,英雄升级数值!$H$2:$S$42,4,FALSE),IF(N23=2,VLOOKUP(N24,英雄升级数值!$H$2:$S$42,8,FALSE),VLOOKUP(N24,英雄升级数值!$H$2:$S$42,12,FALSE)))*(1+VLOOKUP(N25,英雄升星数值!$A$3:$G$8,7))+IF(N26=1,英雄装备数值!$D$3*N27*英雄装备数值!$D$44/战力关系!$B$4,IF(N26=2,英雄装备数值!$D$4*N27*英雄装备数值!$D$44/战力关系!$B$4,英雄装备数值!$D$5*N27*英雄装备数值!$D$44/战力关系!$B$4))+VLOOKUP(N28,装备强化数值!$A$2:$B$22,2,FALSE)*N27/3/战力关系!$B$4+IF(N29=1,VLOOKUP(N30,'宠物升级数值-标准单只'!$A$3:$AD$42,10,FALSE),IF(N29=2,VLOOKUP(N30,'宠物升级数值-标准单只'!$A$3:$AD$42,20,FALSE),VLOOKUP(N30,'宠物升级数值-标准单只'!$A$3:$AD$42,30,FALSE)))*(1+VLOOKUP(N31,宠物升阶数值!$A$2:$B$31,2,FALSE))</f>
        <v>5881.3575000000001</v>
      </c>
      <c r="O34" s="41" t="s">
        <v>3</v>
      </c>
      <c r="P34" s="41">
        <f>IF(P23=1,VLOOKUP(P24,英雄升级数值!$H$2:$S$42,4,FALSE),IF(P23=2,VLOOKUP(P24,英雄升级数值!$H$2:$S$42,8,FALSE),VLOOKUP(P24,英雄升级数值!$H$2:$S$42,12,FALSE)))*(1+VLOOKUP(P25,英雄升星数值!$A$3:$G$8,7))+IF(P26=1,英雄装备数值!$D$3*P27*英雄装备数值!$D$44/战力关系!$B$4,IF(P26=2,英雄装备数值!$D$4*P27*英雄装备数值!$D$44/战力关系!$B$4,英雄装备数值!$D$5*P27*英雄装备数值!$D$44/战力关系!$B$4))+VLOOKUP(P28,装备强化数值!$A$2:$B$22,2,FALSE)*P27/3/战力关系!$B$4+IF(P29=1,VLOOKUP(P30,'宠物升级数值-标准单只'!$A$3:$AD$42,10,FALSE),IF(P29=2,VLOOKUP(P30,'宠物升级数值-标准单只'!$A$3:$AD$42,20,FALSE),VLOOKUP(P30,'宠物升级数值-标准单只'!$A$3:$AD$42,30,FALSE)))*(1+VLOOKUP(P31,宠物升阶数值!$A$2:$B$31,2,FALSE))</f>
        <v>4786.0450000000001</v>
      </c>
      <c r="Q34" s="41" t="s">
        <v>3</v>
      </c>
      <c r="R34" s="49">
        <f>IF(R23=1,VLOOKUP(R24,英雄升级数值!$H$2:$S$42,4,FALSE),IF(R23=2,VLOOKUP(R24,英雄升级数值!$H$2:$S$42,8,FALSE),VLOOKUP(R24,英雄升级数值!$H$2:$S$42,12,FALSE)))*(1+VLOOKUP(R25,英雄升星数值!$A$3:$G$8,7))+IF(R26=1,英雄装备数值!$D$3*R27*英雄装备数值!$D$44/战力关系!$B$4,IF(R26=2,英雄装备数值!$D$4*R27*英雄装备数值!$D$44/战力关系!$B$4,英雄装备数值!$D$5*R27*英雄装备数值!$D$44/战力关系!$B$4))+VLOOKUP(R28,装备强化数值!$A$2:$B$22,2,FALSE)*R27/3/战力关系!$B$4+IF(R29=1,VLOOKUP(R30,'宠物升级数值-标准单只'!$A$3:$AD$42,10,FALSE),IF(R29=2,VLOOKUP(R30,'宠物升级数值-标准单只'!$A$3:$AD$42,20,FALSE),VLOOKUP(R30,'宠物升级数值-标准单只'!$A$3:$AD$42,30,FALSE)))*(1+VLOOKUP(R31,宠物升阶数值!$A$2:$B$31,2,FALSE))</f>
        <v>4560.3250000000007</v>
      </c>
      <c r="S34" s="48" t="s">
        <v>3</v>
      </c>
      <c r="T34" s="41">
        <f>IF(T23=1,VLOOKUP(T24,英雄升级数值!$H$2:$S$42,4,FALSE),IF(T23=2,VLOOKUP(T24,英雄升级数值!$H$2:$S$42,8,FALSE),VLOOKUP(T24,英雄升级数值!$H$2:$S$42,12,FALSE)))*(1+VLOOKUP(T25,英雄升星数值!$A$3:$G$8,7))+IF(T26=1,英雄装备数值!$D$3*T27*英雄装备数值!$D$44/战力关系!$B$4,IF(T26=2,英雄装备数值!$D$4*T27*英雄装备数值!$D$44/战力关系!$B$4,英雄装备数值!$D$5*T27*英雄装备数值!$D$44/战力关系!$B$4))+VLOOKUP(T28,装备强化数值!$A$2:$B$22,2,FALSE)*T27/3/战力关系!$B$4+IF(T29=1,VLOOKUP(T30,'宠物升级数值-标准单只'!$A$3:$AD$42,10,FALSE),IF(T29=2,VLOOKUP(T30,'宠物升级数值-标准单只'!$A$3:$AD$42,20,FALSE),VLOOKUP(T30,'宠物升级数值-标准单只'!$A$3:$AD$42,30,FALSE)))*(1+VLOOKUP(T31,宠物升阶数值!$A$2:$B$31,2,FALSE))</f>
        <v>6551.47</v>
      </c>
      <c r="U34" s="41" t="s">
        <v>3</v>
      </c>
      <c r="V34" s="41">
        <f>IF(V23=1,VLOOKUP(V24,英雄升级数值!$H$2:$S$42,4,FALSE),IF(V23=2,VLOOKUP(V24,英雄升级数值!$H$2:$S$42,8,FALSE),VLOOKUP(V24,英雄升级数值!$H$2:$S$42,12,FALSE)))*(1+VLOOKUP(V25,英雄升星数值!$A$3:$G$8,7))+IF(V26=1,英雄装备数值!$D$3*V27*英雄装备数值!$D$44/战力关系!$B$4,IF(V26=2,英雄装备数值!$D$4*V27*英雄装备数值!$D$44/战力关系!$B$4,英雄装备数值!$D$5*V27*英雄装备数值!$D$44/战力关系!$B$4))+VLOOKUP(V28,装备强化数值!$A$2:$B$22,2,FALSE)*V27/3/战力关系!$B$4+IF(V29=1,VLOOKUP(V30,'宠物升级数值-标准单只'!$A$3:$AD$42,10,FALSE),IF(V29=2,VLOOKUP(V30,'宠物升级数值-标准单只'!$A$3:$AD$42,20,FALSE),VLOOKUP(V30,'宠物升级数值-标准单只'!$A$3:$AD$42,30,FALSE)))*(1+VLOOKUP(V31,宠物升阶数值!$A$2:$B$31,2,FALSE))</f>
        <v>5466.5174999999999</v>
      </c>
      <c r="W34" s="41" t="s">
        <v>3</v>
      </c>
      <c r="X34" s="49">
        <f>IF(X23=1,VLOOKUP(X24,英雄升级数值!$H$2:$S$42,4,FALSE),IF(X23=2,VLOOKUP(X24,英雄升级数值!$H$2:$S$42,8,FALSE),VLOOKUP(X24,英雄升级数值!$H$2:$S$42,12,FALSE)))*(1+VLOOKUP(X25,英雄升星数值!$A$3:$G$8,7))+IF(X26=1,英雄装备数值!$D$3*X27*英雄装备数值!$D$44/战力关系!$B$4,IF(X26=2,英雄装备数值!$D$4*X27*英雄装备数值!$D$44/战力关系!$B$4,英雄装备数值!$D$5*X27*英雄装备数值!$D$44/战力关系!$B$4))+VLOOKUP(X28,装备强化数值!$A$2:$B$22,2,FALSE)*X27/3/战力关系!$B$4+IF(X29=1,VLOOKUP(X30,'宠物升级数值-标准单只'!$A$3:$AD$42,10,FALSE),IF(X29=2,VLOOKUP(X30,'宠物升级数值-标准单只'!$A$3:$AD$42,20,FALSE),VLOOKUP(X30,'宠物升级数值-标准单只'!$A$3:$AD$42,30,FALSE)))*(1+VLOOKUP(X31,宠物升阶数值!$A$2:$B$31,2,FALSE))</f>
        <v>5358.4549999999999</v>
      </c>
      <c r="Y34" s="48" t="s">
        <v>3</v>
      </c>
      <c r="Z34" s="41">
        <f>IF(Z23=1,VLOOKUP(Z24,英雄升级数值!$H$2:$S$42,4,FALSE),IF(Z23=2,VLOOKUP(Z24,英雄升级数值!$H$2:$S$42,8,FALSE),VLOOKUP(Z24,英雄升级数值!$H$2:$S$42,12,FALSE)))*(1+VLOOKUP(Z25,英雄升星数值!$A$3:$G$8,7))+IF(Z26=1,英雄装备数值!$D$3*Z27*英雄装备数值!$D$44/战力关系!$B$4,IF(Z26=2,英雄装备数值!$D$4*Z27*英雄装备数值!$D$44/战力关系!$B$4,英雄装备数值!$D$5*Z27*英雄装备数值!$D$44/战力关系!$B$4))+VLOOKUP(Z28,装备强化数值!$A$2:$B$22,2,FALSE)*Z27/3/战力关系!$B$4+IF(Z29=1,VLOOKUP(Z30,'宠物升级数值-标准单只'!$A$3:$AD$42,10,FALSE),IF(Z29=2,VLOOKUP(Z30,'宠物升级数值-标准单只'!$A$3:$AD$42,20,FALSE),VLOOKUP(Z30,'宠物升级数值-标准单只'!$A$3:$AD$42,30,FALSE)))*(1+VLOOKUP(Z31,宠物升阶数值!$A$2:$B$31,2,FALSE))</f>
        <v>7729.7749999999996</v>
      </c>
      <c r="AA34" s="41" t="s">
        <v>3</v>
      </c>
      <c r="AB34" s="41">
        <f>IF(AB23=1,VLOOKUP(AB24,英雄升级数值!$H$2:$S$42,4,FALSE),IF(AB23=2,VLOOKUP(AB24,英雄升级数值!$H$2:$S$42,8,FALSE),VLOOKUP(AB24,英雄升级数值!$H$2:$S$42,12,FALSE)))*(1+VLOOKUP(AB25,英雄升星数值!$A$3:$G$8,7))+IF(AB26=1,英雄装备数值!$D$3*AB27*英雄装备数值!$D$44/战力关系!$B$4,IF(AB26=2,英雄装备数值!$D$4*AB27*英雄装备数值!$D$44/战力关系!$B$4,英雄装备数值!$D$5*AB27*英雄装备数值!$D$44/战力关系!$B$4))+VLOOKUP(AB28,装备强化数值!$A$2:$B$22,2,FALSE)*AB27/3/战力关系!$B$4+IF(AB29=1,VLOOKUP(AB30,'宠物升级数值-标准单只'!$A$3:$AD$42,10,FALSE),IF(AB29=2,VLOOKUP(AB30,'宠物升级数值-标准单只'!$A$3:$AD$42,20,FALSE),VLOOKUP(AB30,'宠物升级数值-标准单只'!$A$3:$AD$42,30,FALSE)))*(1+VLOOKUP(AB31,宠物升阶数值!$A$2:$B$31,2,FALSE))</f>
        <v>6633.4524999999994</v>
      </c>
      <c r="AC34" s="41" t="s">
        <v>3</v>
      </c>
      <c r="AD34" s="49">
        <f>IF(AD23=1,VLOOKUP(AD24,英雄升级数值!$H$2:$S$42,4,FALSE),IF(AD23=2,VLOOKUP(AD24,英雄升级数值!$H$2:$S$42,8,FALSE),VLOOKUP(AD24,英雄升级数值!$H$2:$S$42,12,FALSE)))*(1+VLOOKUP(AD25,英雄升星数值!$A$3:$G$8,7))+IF(AD26=1,英雄装备数值!$D$3*AD27*英雄装备数值!$D$44/战力关系!$B$4,IF(AD26=2,英雄装备数值!$D$4*AD27*英雄装备数值!$D$44/战力关系!$B$4,英雄装备数值!$D$5*AD27*英雄装备数值!$D$44/战力关系!$B$4))+VLOOKUP(AD28,装备强化数值!$A$2:$B$22,2,FALSE)*AD27/3/战力关系!$B$4+IF(AD29=1,VLOOKUP(AD30,'宠物升级数值-标准单只'!$A$3:$AD$42,10,FALSE),IF(AD29=2,VLOOKUP(AD30,'宠物升级数值-标准单只'!$A$3:$AD$42,20,FALSE),VLOOKUP(AD30,'宠物升级数值-标准单只'!$A$3:$AD$42,30,FALSE)))*(1+VLOOKUP(AD31,宠物升阶数值!$A$2:$B$31,2,FALSE))</f>
        <v>6065.4150000000009</v>
      </c>
      <c r="AE34" s="48" t="s">
        <v>3</v>
      </c>
      <c r="AF34" s="41">
        <f>IF(AF23=1,VLOOKUP(AF24,英雄升级数值!$H$2:$S$42,4,FALSE),IF(AF23=2,VLOOKUP(AF24,英雄升级数值!$H$2:$S$42,8,FALSE),VLOOKUP(AF24,英雄升级数值!$H$2:$S$42,12,FALSE)))*(1+VLOOKUP(AF25,英雄升星数值!$A$3:$G$8,7))+IF(AF26=1,英雄装备数值!$D$3*AF27*英雄装备数值!$D$44/战力关系!$B$4,IF(AF26=2,英雄装备数值!$D$4*AF27*英雄装备数值!$D$44/战力关系!$B$4,英雄装备数值!$D$5*AF27*英雄装备数值!$D$44/战力关系!$B$4))+VLOOKUP(AF28,装备强化数值!$A$2:$B$22,2,FALSE)*AF27/3/战力关系!$B$4+IF(AF29=1,VLOOKUP(AF30,'宠物升级数值-标准单只'!$A$3:$AD$42,10,FALSE),IF(AF29=2,VLOOKUP(AF30,'宠物升级数值-标准单只'!$A$3:$AD$42,20,FALSE),VLOOKUP(AF30,'宠物升级数值-标准单只'!$A$3:$AD$42,30,FALSE)))*(1+VLOOKUP(AF31,宠物升阶数值!$A$2:$B$31,2,FALSE))</f>
        <v>8090.45</v>
      </c>
      <c r="AG34" s="41" t="s">
        <v>3</v>
      </c>
      <c r="AH34" s="41">
        <f>IF(AH23=1,VLOOKUP(AH24,英雄升级数值!$H$2:$S$42,4,FALSE),IF(AH23=2,VLOOKUP(AH24,英雄升级数值!$H$2:$S$42,8,FALSE),VLOOKUP(AH24,英雄升级数值!$H$2:$S$42,12,FALSE)))*(1+VLOOKUP(AH25,英雄升星数值!$A$3:$G$8,7))+IF(AH26=1,英雄装备数值!$D$3*AH27*英雄装备数值!$D$44/战力关系!$B$4,IF(AH26=2,英雄装备数值!$D$4*AH27*英雄装备数值!$D$44/战力关系!$B$4,英雄装备数值!$D$5*AH27*英雄装备数值!$D$44/战力关系!$B$4))+VLOOKUP(AH28,装备强化数值!$A$2:$B$22,2,FALSE)*AH27/3/战力关系!$B$4+IF(AH29=1,VLOOKUP(AH30,'宠物升级数值-标准单只'!$A$3:$AD$42,10,FALSE),IF(AH29=2,VLOOKUP(AH30,'宠物升级数值-标准单只'!$A$3:$AD$42,20,FALSE),VLOOKUP(AH30,'宠物升级数值-标准单只'!$A$3:$AD$42,30,FALSE)))*(1+VLOOKUP(AH31,宠物升阶数值!$A$2:$B$31,2,FALSE))</f>
        <v>6862.8775000000005</v>
      </c>
      <c r="AI34" s="41" t="s">
        <v>3</v>
      </c>
      <c r="AJ34" s="49">
        <f>IF(AJ23=1,VLOOKUP(AJ24,英雄升级数值!$H$2:$S$42,4,FALSE),IF(AJ23=2,VLOOKUP(AJ24,英雄升级数值!$H$2:$S$42,8,FALSE),VLOOKUP(AJ24,英雄升级数值!$H$2:$S$42,12,FALSE)))*(1+VLOOKUP(AJ25,英雄升星数值!$A$3:$G$8,7))+IF(AJ26=1,英雄装备数值!$D$3*AJ27*英雄装备数值!$D$44/战力关系!$B$4,IF(AJ26=2,英雄装备数值!$D$4*AJ27*英雄装备数值!$D$44/战力关系!$B$4,英雄装备数值!$D$5*AJ27*英雄装备数值!$D$44/战力关系!$B$4))+VLOOKUP(AJ28,装备强化数值!$A$2:$B$22,2,FALSE)*AJ27/3/战力关系!$B$4+IF(AJ29=1,VLOOKUP(AJ30,'宠物升级数值-标准单只'!$A$3:$AD$42,10,FALSE),IF(AJ29=2,VLOOKUP(AJ30,'宠物升级数值-标准单只'!$A$3:$AD$42,20,FALSE),VLOOKUP(AJ30,'宠物升级数值-标准单只'!$A$3:$AD$42,30,FALSE)))*(1+VLOOKUP(AJ31,宠物升阶数值!$A$2:$B$31,2,FALSE))</f>
        <v>6862.8775000000005</v>
      </c>
      <c r="AK34" s="48" t="s">
        <v>3</v>
      </c>
      <c r="AL34" s="41">
        <f>IF(AL23=1,VLOOKUP(AL24,英雄升级数值!$H$2:$S$42,4,FALSE),IF(AL23=2,VLOOKUP(AL24,英雄升级数值!$H$2:$S$42,8,FALSE),VLOOKUP(AL24,英雄升级数值!$H$2:$S$42,12,FALSE)))*(1+VLOOKUP(AL25,英雄升星数值!$A$3:$G$8,7))+IF(AL26=1,英雄装备数值!$D$3*AL27*英雄装备数值!$D$44/战力关系!$B$4,IF(AL26=2,英雄装备数值!$D$4*AL27*英雄装备数值!$D$44/战力关系!$B$4,英雄装备数值!$D$5*AL27*英雄装备数值!$D$44/战力关系!$B$4))+VLOOKUP(AL28,装备强化数值!$A$2:$B$22,2,FALSE)*AL27/3/战力关系!$B$4+IF(AL29=1,VLOOKUP(AL30,'宠物升级数值-标准单只'!$A$3:$AD$42,10,FALSE),IF(AL29=2,VLOOKUP(AL30,'宠物升级数值-标准单只'!$A$3:$AD$42,20,FALSE),VLOOKUP(AL30,'宠物升级数值-标准单只'!$A$3:$AD$42,30,FALSE)))*(1+VLOOKUP(AL31,宠物升阶数值!$A$2:$B$31,2,FALSE))</f>
        <v>9075.2999999999993</v>
      </c>
      <c r="AM34" s="41" t="s">
        <v>3</v>
      </c>
      <c r="AN34" s="41">
        <f>IF(AN23=1,VLOOKUP(AN24,英雄升级数值!$H$2:$S$42,4,FALSE),IF(AN23=2,VLOOKUP(AN24,英雄升级数值!$H$2:$S$42,8,FALSE),VLOOKUP(AN24,英雄升级数值!$H$2:$S$42,12,FALSE)))*(1+VLOOKUP(AN25,英雄升星数值!$A$3:$G$8,7))+IF(AN26=1,英雄装备数值!$D$3*AN27*英雄装备数值!$D$44/战力关系!$B$4,IF(AN26=2,英雄装备数值!$D$4*AN27*英雄装备数值!$D$44/战力关系!$B$4,英雄装备数值!$D$5*AN27*英雄装备数值!$D$44/战力关系!$B$4))+VLOOKUP(AN28,装备强化数值!$A$2:$B$22,2,FALSE)*AN27/3/战力关系!$B$4+IF(AN29=1,VLOOKUP(AN30,'宠物升级数值-标准单只'!$A$3:$AD$42,10,FALSE),IF(AN29=2,VLOOKUP(AN30,'宠物升级数值-标准单只'!$A$3:$AD$42,20,FALSE),VLOOKUP(AN30,'宠物升级数值-标准单只'!$A$3:$AD$42,30,FALSE)))*(1+VLOOKUP(AN31,宠物升阶数值!$A$2:$B$31,2,FALSE))</f>
        <v>8888.5499999999993</v>
      </c>
      <c r="AO34" s="41" t="s">
        <v>3</v>
      </c>
      <c r="AP34" s="49">
        <f>IF(AP23=1,VLOOKUP(AP24,英雄升级数值!$H$2:$S$42,4,FALSE),IF(AP23=2,VLOOKUP(AP24,英雄升级数值!$H$2:$S$42,8,FALSE),VLOOKUP(AP24,英雄升级数值!$H$2:$S$42,12,FALSE)))*(1+VLOOKUP(AP25,英雄升星数值!$A$3:$G$8,7))+IF(AP26=1,英雄装备数值!$D$3*AP27*英雄装备数值!$D$44/战力关系!$B$4,IF(AP26=2,英雄装备数值!$D$4*AP27*英雄装备数值!$D$44/战力关系!$B$4,英雄装备数值!$D$5*AP27*英雄装备数值!$D$44/战力关系!$B$4))+VLOOKUP(AP28,装备强化数值!$A$2:$B$22,2,FALSE)*AP27/3/战力关系!$B$4+IF(AP29=1,VLOOKUP(AP30,'宠物升级数值-标准单只'!$A$3:$AD$42,10,FALSE),IF(AP29=2,VLOOKUP(AP30,'宠物升级数值-标准单只'!$A$3:$AD$42,20,FALSE),VLOOKUP(AP30,'宠物升级数值-标准单只'!$A$3:$AD$42,30,FALSE)))*(1+VLOOKUP(AP31,宠物升阶数值!$A$2:$B$31,2,FALSE))</f>
        <v>7530.6724999999997</v>
      </c>
    </row>
    <row r="35" spans="1:42" x14ac:dyDescent="0.3">
      <c r="A35" s="48" t="s">
        <v>4</v>
      </c>
      <c r="B35" s="41">
        <f>IF(B23=1,VLOOKUP(B25,英雄升星数值!$A$3:$U$8,3,FALSE),IF(B23=2,VLOOKUP(B25,英雄升星数值!$A$3:$U$8,10,FALSE),VLOOKUP(B25,英雄升星数值!$A$3:$U$8,17,FALSE)))+IF(B26=1,英雄装备数值!$D$3*B27*英雄装备数值!$D$45/战力关系!$B$5,IF(B26=2,英雄装备数值!$D$4*B27*英雄装备数值!$D$45/战力关系!$B$5,英雄装备数值!$D$5*B27*英雄装备数值!$D$45/战力关系!$B$5))</f>
        <v>18.75</v>
      </c>
      <c r="C35" s="41" t="s">
        <v>4</v>
      </c>
      <c r="D35" s="41">
        <f>IF(D23=1,VLOOKUP(D25,英雄升星数值!$A$3:$U$8,3,FALSE),IF(D23=2,VLOOKUP(D25,英雄升星数值!$A$3:$U$8,10,FALSE),VLOOKUP(D25,英雄升星数值!$A$3:$U$8,17,FALSE)))+IF(D26=1,英雄装备数值!$D$3*D27*英雄装备数值!$D$45/战力关系!$B$5,IF(D26=2,英雄装备数值!$D$4*D27*英雄装备数值!$D$45/战力关系!$B$5,英雄装备数值!$D$5*D27*英雄装备数值!$D$45/战力关系!$B$5))</f>
        <v>15</v>
      </c>
      <c r="E35" s="41" t="s">
        <v>4</v>
      </c>
      <c r="F35" s="49">
        <f>IF(F23=1,VLOOKUP(F25,英雄升星数值!$A$3:$U$8,3,FALSE),IF(F23=2,VLOOKUP(F25,英雄升星数值!$A$3:$U$8,10,FALSE),VLOOKUP(F25,英雄升星数值!$A$3:$U$8,17,FALSE)))+IF(F26=1,英雄装备数值!$D$3*F27*英雄装备数值!$D$45/战力关系!$B$5,IF(F26=2,英雄装备数值!$D$4*F27*英雄装备数值!$D$45/战力关系!$B$5,英雄装备数值!$D$5*F27*英雄装备数值!$D$45/战力关系!$B$5))</f>
        <v>15</v>
      </c>
      <c r="G35" s="45" t="s">
        <v>4</v>
      </c>
      <c r="H35" s="41">
        <f>IF(H23=1,VLOOKUP(H25,英雄升星数值!$A$3:$U$8,3,FALSE),IF(H23=2,VLOOKUP(H25,英雄升星数值!$A$3:$U$8,10,FALSE),VLOOKUP(H25,英雄升星数值!$A$3:$U$8,17,FALSE)))+IF(H26=1,英雄装备数值!$D$3*H27*英雄装备数值!$D$45/战力关系!$B$5,IF(H26=2,英雄装备数值!$D$4*H27*英雄装备数值!$D$45/战力关系!$B$5,英雄装备数值!$D$5*H27*英雄装备数值!$D$45/战力关系!$B$5))</f>
        <v>45.5</v>
      </c>
      <c r="I35" s="41" t="s">
        <v>4</v>
      </c>
      <c r="J35" s="41">
        <f>IF(J23=1,VLOOKUP(J25,英雄升星数值!$A$3:$U$8,3,FALSE),IF(J23=2,VLOOKUP(J25,英雄升星数值!$A$3:$U$8,10,FALSE),VLOOKUP(J25,英雄升星数值!$A$3:$U$8,17,FALSE)))+IF(J26=1,英雄装备数值!$D$3*J27*英雄装备数值!$D$45/战力关系!$B$5,IF(J26=2,英雄装备数值!$D$4*J27*英雄装备数值!$D$45/战力关系!$B$5,英雄装备数值!$D$5*J27*英雄装备数值!$D$45/战力关系!$B$5))</f>
        <v>26.75</v>
      </c>
      <c r="K35" s="41" t="s">
        <v>4</v>
      </c>
      <c r="L35" s="49">
        <f>IF(L23=1,VLOOKUP(L25,英雄升星数值!$A$3:$U$8,3,FALSE),IF(L23=2,VLOOKUP(L25,英雄升星数值!$A$3:$U$8,10,FALSE),VLOOKUP(L25,英雄升星数值!$A$3:$U$8,17,FALSE)))+IF(L26=1,英雄装备数值!$D$3*L27*英雄装备数值!$D$45/战力关系!$B$5,IF(L26=2,英雄装备数值!$D$4*L27*英雄装备数值!$D$45/战力关系!$B$5,英雄装备数值!$D$5*L27*英雄装备数值!$D$45/战力关系!$B$5))</f>
        <v>23</v>
      </c>
      <c r="M35" s="48" t="s">
        <v>4</v>
      </c>
      <c r="N35" s="41">
        <f>IF(N23=1,VLOOKUP(N25,英雄升星数值!$A$3:$U$8,3,FALSE),IF(N23=2,VLOOKUP(N25,英雄升星数值!$A$3:$U$8,10,FALSE),VLOOKUP(N25,英雄升星数值!$A$3:$U$8,17,FALSE)))+IF(N26=1,英雄装备数值!$D$3*N27*英雄装备数值!$D$45/战力关系!$B$5,IF(N26=2,英雄装备数值!$D$4*N27*英雄装备数值!$D$45/战力关系!$B$5,英雄装备数值!$D$5*N27*英雄装备数值!$D$45/战力关系!$B$5))</f>
        <v>54</v>
      </c>
      <c r="O35" s="41" t="s">
        <v>4</v>
      </c>
      <c r="P35" s="41">
        <f>IF(P23=1,VLOOKUP(P25,英雄升星数值!$A$3:$U$8,3,FALSE),IF(P23=2,VLOOKUP(P25,英雄升星数值!$A$3:$U$8,10,FALSE),VLOOKUP(P25,英雄升星数值!$A$3:$U$8,17,FALSE)))+IF(P26=1,英雄装备数值!$D$3*P27*英雄装备数值!$D$45/战力关系!$B$5,IF(P26=2,英雄装备数值!$D$4*P27*英雄装备数值!$D$45/战力关系!$B$5,英雄装备数值!$D$5*P27*英雄装备数值!$D$45/战力关系!$B$5))</f>
        <v>57.5</v>
      </c>
      <c r="Q35" s="41" t="s">
        <v>4</v>
      </c>
      <c r="R35" s="49">
        <f>IF(R23=1,VLOOKUP(R25,英雄升星数值!$A$3:$U$8,3,FALSE),IF(R23=2,VLOOKUP(R25,英雄升星数值!$A$3:$U$8,10,FALSE),VLOOKUP(R25,英雄升星数值!$A$3:$U$8,17,FALSE)))+IF(R26=1,英雄装备数值!$D$3*R27*英雄装备数值!$D$45/战力关系!$B$5,IF(R26=2,英雄装备数值!$D$4*R27*英雄装备数值!$D$45/战力关系!$B$5,英雄装备数值!$D$5*R27*英雄装备数值!$D$45/战力关系!$B$5))</f>
        <v>57.5</v>
      </c>
      <c r="S35" s="48" t="s">
        <v>4</v>
      </c>
      <c r="T35" s="41">
        <f>IF(T23=1,VLOOKUP(T25,英雄升星数值!$A$3:$U$8,3,FALSE),IF(T23=2,VLOOKUP(T25,英雄升星数值!$A$3:$U$8,10,FALSE),VLOOKUP(T25,英雄升星数值!$A$3:$U$8,17,FALSE)))+IF(T26=1,英雄装备数值!$D$3*T27*英雄装备数值!$D$45/战力关系!$B$5,IF(T26=2,英雄装备数值!$D$4*T27*英雄装备数值!$D$45/战力关系!$B$5,英雄装备数值!$D$5*T27*英雄装备数值!$D$45/战力关系!$B$5))</f>
        <v>54</v>
      </c>
      <c r="U35" s="41" t="s">
        <v>4</v>
      </c>
      <c r="V35" s="41">
        <f>IF(V23=1,VLOOKUP(V25,英雄升星数值!$A$3:$U$8,3,FALSE),IF(V23=2,VLOOKUP(V25,英雄升星数值!$A$3:$U$8,10,FALSE),VLOOKUP(V25,英雄升星数值!$A$3:$U$8,17,FALSE)))+IF(V26=1,英雄装备数值!$D$3*V27*英雄装备数值!$D$45/战力关系!$B$5,IF(V26=2,英雄装备数值!$D$4*V27*英雄装备数值!$D$45/战力关系!$B$5,英雄装备数值!$D$5*V27*英雄装备数值!$D$45/战力关系!$B$5))</f>
        <v>76.25</v>
      </c>
      <c r="W35" s="41" t="s">
        <v>4</v>
      </c>
      <c r="X35" s="49">
        <f>IF(X23=1,VLOOKUP(X25,英雄升星数值!$A$3:$U$8,3,FALSE),IF(X23=2,VLOOKUP(X25,英雄升星数值!$A$3:$U$8,10,FALSE),VLOOKUP(X25,英雄升星数值!$A$3:$U$8,17,FALSE)))+IF(X26=1,英雄装备数值!$D$3*X27*英雄装备数值!$D$45/战力关系!$B$5,IF(X26=2,英雄装备数值!$D$4*X27*英雄装备数值!$D$45/战力关系!$B$5,英雄装备数值!$D$5*X27*英雄装备数值!$D$45/战力关系!$B$5))</f>
        <v>57.5</v>
      </c>
      <c r="Y35" s="48" t="s">
        <v>4</v>
      </c>
      <c r="Z35" s="41">
        <f>IF(Z23=1,VLOOKUP(Z25,英雄升星数值!$A$3:$U$8,3,FALSE),IF(Z23=2,VLOOKUP(Z25,英雄升星数值!$A$3:$U$8,10,FALSE),VLOOKUP(Z25,英雄升星数值!$A$3:$U$8,17,FALSE)))+IF(Z26=1,英雄装备数值!$D$3*Z27*英雄装备数值!$D$45/战力关系!$B$5,IF(Z26=2,英雄装备数值!$D$4*Z27*英雄装备数值!$D$45/战力关系!$B$5,英雄装备数值!$D$5*Z27*英雄装备数值!$D$45/战力关系!$B$5))</f>
        <v>54</v>
      </c>
      <c r="AA35" s="41" t="s">
        <v>4</v>
      </c>
      <c r="AB35" s="41">
        <f>IF(AB23=1,VLOOKUP(AB25,英雄升星数值!$A$3:$U$8,3,FALSE),IF(AB23=2,VLOOKUP(AB25,英雄升星数值!$A$3:$U$8,10,FALSE),VLOOKUP(AB25,英雄升星数值!$A$3:$U$8,17,FALSE)))+IF(AB26=1,英雄装备数值!$D$3*AB27*英雄装备数值!$D$45/战力关系!$B$5,IF(AB26=2,英雄装备数值!$D$4*AB27*英雄装备数值!$D$45/战力关系!$B$5,英雄装备数值!$D$5*AB27*英雄装备数值!$D$45/战力关系!$B$5))</f>
        <v>86.25</v>
      </c>
      <c r="AC35" s="41" t="s">
        <v>4</v>
      </c>
      <c r="AD35" s="49">
        <f>IF(AD23=1,VLOOKUP(AD25,英雄升星数值!$A$3:$U$8,3,FALSE),IF(AD23=2,VLOOKUP(AD25,英雄升星数值!$A$3:$U$8,10,FALSE),VLOOKUP(AD25,英雄升星数值!$A$3:$U$8,17,FALSE)))+IF(AD26=1,英雄装备数值!$D$3*AD27*英雄装备数值!$D$45/战力关系!$B$5,IF(AD26=2,英雄装备数值!$D$4*AD27*英雄装备数值!$D$45/战力关系!$B$5,英雄装备数值!$D$5*AD27*英雄装备数值!$D$45/战力关系!$B$5))</f>
        <v>57.5</v>
      </c>
      <c r="AE35" s="48" t="s">
        <v>4</v>
      </c>
      <c r="AF35" s="41">
        <f>IF(AF23=1,VLOOKUP(AF25,英雄升星数值!$A$3:$U$8,3,FALSE),IF(AF23=2,VLOOKUP(AF25,英雄升星数值!$A$3:$U$8,10,FALSE),VLOOKUP(AF25,英雄升星数值!$A$3:$U$8,17,FALSE)))+IF(AF26=1,英雄装备数值!$D$3*AF27*英雄装备数值!$D$45/战力关系!$B$5,IF(AF26=2,英雄装备数值!$D$4*AF27*英雄装备数值!$D$45/战力关系!$B$5,英雄装备数值!$D$5*AF27*英雄装备数值!$D$45/战力关系!$B$5))</f>
        <v>54</v>
      </c>
      <c r="AG35" s="41" t="s">
        <v>4</v>
      </c>
      <c r="AH35" s="41">
        <f>IF(AH23=1,VLOOKUP(AH25,英雄升星数值!$A$3:$U$8,3,FALSE),IF(AH23=2,VLOOKUP(AH25,英雄升星数值!$A$3:$U$8,10,FALSE),VLOOKUP(AH25,英雄升星数值!$A$3:$U$8,17,FALSE)))+IF(AH26=1,英雄装备数值!$D$3*AH27*英雄装备数值!$D$45/战力关系!$B$5,IF(AH26=2,英雄装备数值!$D$4*AH27*英雄装备数值!$D$45/战力关系!$B$5,英雄装备数值!$D$5*AH27*英雄装备数值!$D$45/战力关系!$B$5))</f>
        <v>86.25</v>
      </c>
      <c r="AI35" s="41" t="s">
        <v>4</v>
      </c>
      <c r="AJ35" s="49">
        <f>IF(AJ23=1,VLOOKUP(AJ25,英雄升星数值!$A$3:$U$8,3,FALSE),IF(AJ23=2,VLOOKUP(AJ25,英雄升星数值!$A$3:$U$8,10,FALSE),VLOOKUP(AJ25,英雄升星数值!$A$3:$U$8,17,FALSE)))+IF(AJ26=1,英雄装备数值!$D$3*AJ27*英雄装备数值!$D$45/战力关系!$B$5,IF(AJ26=2,英雄装备数值!$D$4*AJ27*英雄装备数值!$D$45/战力关系!$B$5,英雄装备数值!$D$5*AJ27*英雄装备数值!$D$45/战力关系!$B$5))</f>
        <v>86.25</v>
      </c>
      <c r="AK35" s="48" t="s">
        <v>4</v>
      </c>
      <c r="AL35" s="41">
        <f>IF(AL23=1,VLOOKUP(AL25,英雄升星数值!$A$3:$U$8,3,FALSE),IF(AL23=2,VLOOKUP(AL25,英雄升星数值!$A$3:$U$8,10,FALSE),VLOOKUP(AL25,英雄升星数值!$A$3:$U$8,17,FALSE)))+IF(AL26=1,英雄装备数值!$D$3*AL27*英雄装备数值!$D$45/战力关系!$B$5,IF(AL26=2,英雄装备数值!$D$4*AL27*英雄装备数值!$D$45/战力关系!$B$5,英雄装备数值!$D$5*AL27*英雄装备数值!$D$45/战力关系!$B$5))</f>
        <v>78</v>
      </c>
      <c r="AM35" s="41" t="s">
        <v>4</v>
      </c>
      <c r="AN35" s="41">
        <f>IF(AN23=1,VLOOKUP(AN25,英雄升星数值!$A$3:$U$8,3,FALSE),IF(AN23=2,VLOOKUP(AN25,英雄升星数值!$A$3:$U$8,10,FALSE),VLOOKUP(AN25,英雄升星数值!$A$3:$U$8,17,FALSE)))+IF(AN26=1,英雄装备数值!$D$3*AN27*英雄装备数值!$D$45/战力关系!$B$5,IF(AN26=2,英雄装备数值!$D$4*AN27*英雄装备数值!$D$45/战力关系!$B$5,英雄装备数值!$D$5*AN27*英雄装备数值!$D$45/战力关系!$B$5))</f>
        <v>54</v>
      </c>
      <c r="AO35" s="41" t="s">
        <v>4</v>
      </c>
      <c r="AP35" s="49">
        <f>IF(AP23=1,VLOOKUP(AP25,英雄升星数值!$A$3:$U$8,3,FALSE),IF(AP23=2,VLOOKUP(AP25,英雄升星数值!$A$3:$U$8,10,FALSE),VLOOKUP(AP25,英雄升星数值!$A$3:$U$8,17,FALSE)))+IF(AP26=1,英雄装备数值!$D$3*AP27*英雄装备数值!$D$45/战力关系!$B$5,IF(AP26=2,英雄装备数值!$D$4*AP27*英雄装备数值!$D$45/战力关系!$B$5,英雄装备数值!$D$5*AP27*英雄装备数值!$D$45/战力关系!$B$5))</f>
        <v>86.25</v>
      </c>
    </row>
    <row r="36" spans="1:42" x14ac:dyDescent="0.3">
      <c r="A36" s="48" t="s">
        <v>5</v>
      </c>
      <c r="B36" s="41">
        <f>IF(B23=1,VLOOKUP(B25,英雄升星数值!$A$3:$U$8,4,FALSE),IF(B23=2,VLOOKUP(B25,英雄升星数值!$A$3:$U$8,11,FALSE),VLOOKUP(B25,英雄升星数值!$A$3:$U$8,18,FALSE)))+IF(B26=1,英雄装备数值!$D$3*B27*英雄装备数值!$D$46/战力关系!$B$6,IF(B26=2,英雄装备数值!$D$4*B27*英雄装备数值!$D$46/战力关系!$B$6,英雄装备数值!$D$5*B27*英雄装备数值!$D$46/战力关系!$B$6))</f>
        <v>18.75</v>
      </c>
      <c r="C36" s="41" t="s">
        <v>5</v>
      </c>
      <c r="D36" s="41">
        <f>IF(D23=1,VLOOKUP(D25,英雄升星数值!$A$3:$U$8,4,FALSE),IF(D23=2,VLOOKUP(D25,英雄升星数值!$A$3:$U$8,11,FALSE),VLOOKUP(D25,英雄升星数值!$A$3:$U$8,18,FALSE)))+IF(D26=1,英雄装备数值!$D$3*D27*英雄装备数值!$D$46/战力关系!$B$6,IF(D26=2,英雄装备数值!$D$4*D27*英雄装备数值!$D$46/战力关系!$B$6,英雄装备数值!$D$5*D27*英雄装备数值!$D$46/战力关系!$B$6))</f>
        <v>15</v>
      </c>
      <c r="E36" s="41" t="s">
        <v>5</v>
      </c>
      <c r="F36" s="49">
        <f>IF(F23=1,VLOOKUP(F25,英雄升星数值!$A$3:$U$8,4,FALSE),IF(F23=2,VLOOKUP(F25,英雄升星数值!$A$3:$U$8,11,FALSE),VLOOKUP(F25,英雄升星数值!$A$3:$U$8,18,FALSE)))+IF(F26=1,英雄装备数值!$D$3*F27*英雄装备数值!$D$46/战力关系!$B$6,IF(F26=2,英雄装备数值!$D$4*F27*英雄装备数值!$D$46/战力关系!$B$6,英雄装备数值!$D$5*F27*英雄装备数值!$D$46/战力关系!$B$6))</f>
        <v>15</v>
      </c>
      <c r="G36" s="45" t="s">
        <v>5</v>
      </c>
      <c r="H36" s="41">
        <f>IF(H23=1,VLOOKUP(H25,英雄升星数值!$A$3:$U$8,4,FALSE),IF(H23=2,VLOOKUP(H25,英雄升星数值!$A$3:$U$8,11,FALSE),VLOOKUP(H25,英雄升星数值!$A$3:$U$8,18,FALSE)))+IF(H26=1,英雄装备数值!$D$3*H27*英雄装备数值!$D$46/战力关系!$B$6,IF(H26=2,英雄装备数值!$D$4*H27*英雄装备数值!$D$46/战力关系!$B$6,英雄装备数值!$D$5*H27*英雄装备数值!$D$46/战力关系!$B$6))</f>
        <v>43.9</v>
      </c>
      <c r="I36" s="41" t="s">
        <v>5</v>
      </c>
      <c r="J36" s="41">
        <f>IF(J23=1,VLOOKUP(J25,英雄升星数值!$A$3:$U$8,4,FALSE),IF(J23=2,VLOOKUP(J25,英雄升星数值!$A$3:$U$8,11,FALSE),VLOOKUP(J25,英雄升星数值!$A$3:$U$8,18,FALSE)))+IF(J26=1,英雄装备数值!$D$3*J27*英雄装备数值!$D$46/战力关系!$B$6,IF(J26=2,英雄装备数值!$D$4*J27*英雄装备数值!$D$46/战力关系!$B$6,英雄装备数值!$D$5*J27*英雄装备数值!$D$46/战力关系!$B$6))</f>
        <v>25.15</v>
      </c>
      <c r="K36" s="41" t="s">
        <v>5</v>
      </c>
      <c r="L36" s="49">
        <f>IF(L23=1,VLOOKUP(L25,英雄升星数值!$A$3:$U$8,4,FALSE),IF(L23=2,VLOOKUP(L25,英雄升星数值!$A$3:$U$8,11,FALSE),VLOOKUP(L25,英雄升星数值!$A$3:$U$8,18,FALSE)))+IF(L26=1,英雄装备数值!$D$3*L27*英雄装备数值!$D$46/战力关系!$B$6,IF(L26=2,英雄装备数值!$D$4*L27*英雄装备数值!$D$46/战力关系!$B$6,英雄装备数值!$D$5*L27*英雄装备数值!$D$46/战力关系!$B$6))</f>
        <v>21.4</v>
      </c>
      <c r="M36" s="48" t="s">
        <v>5</v>
      </c>
      <c r="N36" s="41">
        <f>IF(N23=1,VLOOKUP(N25,英雄升星数值!$A$3:$U$8,4,FALSE),IF(N23=2,VLOOKUP(N25,英雄升星数值!$A$3:$U$8,11,FALSE),VLOOKUP(N25,英雄升星数值!$A$3:$U$8,18,FALSE)))+IF(N26=1,英雄装备数值!$D$3*N27*英雄装备数值!$D$46/战力关系!$B$6,IF(N26=2,英雄装备数值!$D$4*N27*英雄装备数值!$D$46/战力关系!$B$6,英雄装备数值!$D$5*N27*英雄装备数值!$D$46/战力关系!$B$6))</f>
        <v>48</v>
      </c>
      <c r="O36" s="41" t="s">
        <v>5</v>
      </c>
      <c r="P36" s="41">
        <f>IF(P23=1,VLOOKUP(P25,英雄升星数值!$A$3:$U$8,4,FALSE),IF(P23=2,VLOOKUP(P25,英雄升星数值!$A$3:$U$8,11,FALSE),VLOOKUP(P25,英雄升星数值!$A$3:$U$8,18,FALSE)))+IF(P26=1,英雄装备数值!$D$3*P27*英雄装备数值!$D$46/战力关系!$B$6,IF(P26=2,英雄装备数值!$D$4*P27*英雄装备数值!$D$46/战力关系!$B$6,英雄装备数值!$D$5*P27*英雄装备数值!$D$46/战力关系!$B$6))</f>
        <v>53.5</v>
      </c>
      <c r="Q36" s="41" t="s">
        <v>5</v>
      </c>
      <c r="R36" s="49">
        <f>IF(R23=1,VLOOKUP(R25,英雄升星数值!$A$3:$U$8,4,FALSE),IF(R23=2,VLOOKUP(R25,英雄升星数值!$A$3:$U$8,11,FALSE),VLOOKUP(R25,英雄升星数值!$A$3:$U$8,18,FALSE)))+IF(R26=1,英雄装备数值!$D$3*R27*英雄装备数值!$D$46/战力关系!$B$6,IF(R26=2,英雄装备数值!$D$4*R27*英雄装备数值!$D$46/战力关系!$B$6,英雄装备数值!$D$5*R27*英雄装备数值!$D$46/战力关系!$B$6))</f>
        <v>53.5</v>
      </c>
      <c r="S36" s="48" t="s">
        <v>5</v>
      </c>
      <c r="T36" s="41">
        <f>IF(T23=1,VLOOKUP(T25,英雄升星数值!$A$3:$U$8,4,FALSE),IF(T23=2,VLOOKUP(T25,英雄升星数值!$A$3:$U$8,11,FALSE),VLOOKUP(T25,英雄升星数值!$A$3:$U$8,18,FALSE)))+IF(T26=1,英雄装备数值!$D$3*T27*英雄装备数值!$D$46/战力关系!$B$6,IF(T26=2,英雄装备数值!$D$4*T27*英雄装备数值!$D$46/战力关系!$B$6,英雄装备数值!$D$5*T27*英雄装备数值!$D$46/战力关系!$B$6))</f>
        <v>48</v>
      </c>
      <c r="U36" s="41" t="s">
        <v>5</v>
      </c>
      <c r="V36" s="41">
        <f>IF(V23=1,VLOOKUP(V25,英雄升星数值!$A$3:$U$8,4,FALSE),IF(V23=2,VLOOKUP(V25,英雄升星数值!$A$3:$U$8,11,FALSE),VLOOKUP(V25,英雄升星数值!$A$3:$U$8,18,FALSE)))+IF(V26=1,英雄装备数值!$D$3*V27*英雄装备数值!$D$46/战力关系!$B$6,IF(V26=2,英雄装备数值!$D$4*V27*英雄装备数值!$D$46/战力关系!$B$6,英雄装备数值!$D$5*V27*英雄装备数值!$D$46/战力关系!$B$6))</f>
        <v>72.25</v>
      </c>
      <c r="W36" s="41" t="s">
        <v>5</v>
      </c>
      <c r="X36" s="49">
        <f>IF(X23=1,VLOOKUP(X25,英雄升星数值!$A$3:$U$8,4,FALSE),IF(X23=2,VLOOKUP(X25,英雄升星数值!$A$3:$U$8,11,FALSE),VLOOKUP(X25,英雄升星数值!$A$3:$U$8,18,FALSE)))+IF(X26=1,英雄装备数值!$D$3*X27*英雄装备数值!$D$46/战力关系!$B$6,IF(X26=2,英雄装备数值!$D$4*X27*英雄装备数值!$D$46/战力关系!$B$6,英雄装备数值!$D$5*X27*英雄装备数值!$D$46/战力关系!$B$6))</f>
        <v>53.5</v>
      </c>
      <c r="Y36" s="48" t="s">
        <v>5</v>
      </c>
      <c r="Z36" s="41">
        <f>IF(Z23=1,VLOOKUP(Z25,英雄升星数值!$A$3:$U$8,4,FALSE),IF(Z23=2,VLOOKUP(Z25,英雄升星数值!$A$3:$U$8,11,FALSE),VLOOKUP(Z25,英雄升星数值!$A$3:$U$8,18,FALSE)))+IF(Z26=1,英雄装备数值!$D$3*Z27*英雄装备数值!$D$46/战力关系!$B$6,IF(Z26=2,英雄装备数值!$D$4*Z27*英雄装备数值!$D$46/战力关系!$B$6,英雄装备数值!$D$5*Z27*英雄装备数值!$D$46/战力关系!$B$6))</f>
        <v>48</v>
      </c>
      <c r="AA36" s="41" t="s">
        <v>5</v>
      </c>
      <c r="AB36" s="41">
        <f>IF(AB23=1,VLOOKUP(AB25,英雄升星数值!$A$3:$U$8,4,FALSE),IF(AB23=2,VLOOKUP(AB25,英雄升星数值!$A$3:$U$8,11,FALSE),VLOOKUP(AB25,英雄升星数值!$A$3:$U$8,18,FALSE)))+IF(AB26=1,英雄装备数值!$D$3*AB27*英雄装备数值!$D$46/战力关系!$B$6,IF(AB26=2,英雄装备数值!$D$4*AB27*英雄装备数值!$D$46/战力关系!$B$6,英雄装备数值!$D$5*AB27*英雄装备数值!$D$46/战力关系!$B$6))</f>
        <v>80.25</v>
      </c>
      <c r="AC36" s="41" t="s">
        <v>5</v>
      </c>
      <c r="AD36" s="49">
        <f>IF(AD23=1,VLOOKUP(AD25,英雄升星数值!$A$3:$U$8,4,FALSE),IF(AD23=2,VLOOKUP(AD25,英雄升星数值!$A$3:$U$8,11,FALSE),VLOOKUP(AD25,英雄升星数值!$A$3:$U$8,18,FALSE)))+IF(AD26=1,英雄装备数值!$D$3*AD27*英雄装备数值!$D$46/战力关系!$B$6,IF(AD26=2,英雄装备数值!$D$4*AD27*英雄装备数值!$D$46/战力关系!$B$6,英雄装备数值!$D$5*AD27*英雄装备数值!$D$46/战力关系!$B$6))</f>
        <v>53.5</v>
      </c>
      <c r="AE36" s="48" t="s">
        <v>5</v>
      </c>
      <c r="AF36" s="41">
        <f>IF(AF23=1,VLOOKUP(AF25,英雄升星数值!$A$3:$U$8,4,FALSE),IF(AF23=2,VLOOKUP(AF25,英雄升星数值!$A$3:$U$8,11,FALSE),VLOOKUP(AF25,英雄升星数值!$A$3:$U$8,18,FALSE)))+IF(AF26=1,英雄装备数值!$D$3*AF27*英雄装备数值!$D$46/战力关系!$B$6,IF(AF26=2,英雄装备数值!$D$4*AF27*英雄装备数值!$D$46/战力关系!$B$6,英雄装备数值!$D$5*AF27*英雄装备数值!$D$46/战力关系!$B$6))</f>
        <v>48</v>
      </c>
      <c r="AG36" s="41" t="s">
        <v>5</v>
      </c>
      <c r="AH36" s="41">
        <f>IF(AH23=1,VLOOKUP(AH25,英雄升星数值!$A$3:$U$8,4,FALSE),IF(AH23=2,VLOOKUP(AH25,英雄升星数值!$A$3:$U$8,11,FALSE),VLOOKUP(AH25,英雄升星数值!$A$3:$U$8,18,FALSE)))+IF(AH26=1,英雄装备数值!$D$3*AH27*英雄装备数值!$D$46/战力关系!$B$6,IF(AH26=2,英雄装备数值!$D$4*AH27*英雄装备数值!$D$46/战力关系!$B$6,英雄装备数值!$D$5*AH27*英雄装备数值!$D$46/战力关系!$B$6))</f>
        <v>80.25</v>
      </c>
      <c r="AI36" s="41" t="s">
        <v>5</v>
      </c>
      <c r="AJ36" s="49">
        <f>IF(AJ23=1,VLOOKUP(AJ25,英雄升星数值!$A$3:$U$8,4,FALSE),IF(AJ23=2,VLOOKUP(AJ25,英雄升星数值!$A$3:$U$8,11,FALSE),VLOOKUP(AJ25,英雄升星数值!$A$3:$U$8,18,FALSE)))+IF(AJ26=1,英雄装备数值!$D$3*AJ27*英雄装备数值!$D$46/战力关系!$B$6,IF(AJ26=2,英雄装备数值!$D$4*AJ27*英雄装备数值!$D$46/战力关系!$B$6,英雄装备数值!$D$5*AJ27*英雄装备数值!$D$46/战力关系!$B$6))</f>
        <v>80.25</v>
      </c>
      <c r="AK36" s="48" t="s">
        <v>5</v>
      </c>
      <c r="AL36" s="41">
        <f>IF(AL23=1,VLOOKUP(AL25,英雄升星数值!$A$3:$U$8,4,FALSE),IF(AL23=2,VLOOKUP(AL25,英雄升星数值!$A$3:$U$8,11,FALSE),VLOOKUP(AL25,英雄升星数值!$A$3:$U$8,18,FALSE)))+IF(AL26=1,英雄装备数值!$D$3*AL27*英雄装备数值!$D$46/战力关系!$B$6,IF(AL26=2,英雄装备数值!$D$4*AL27*英雄装备数值!$D$46/战力关系!$B$6,英雄装备数值!$D$5*AL27*英雄装备数值!$D$46/战力关系!$B$6))</f>
        <v>72</v>
      </c>
      <c r="AM36" s="41" t="s">
        <v>5</v>
      </c>
      <c r="AN36" s="41">
        <f>IF(AN23=1,VLOOKUP(AN25,英雄升星数值!$A$3:$U$8,4,FALSE),IF(AN23=2,VLOOKUP(AN25,英雄升星数值!$A$3:$U$8,11,FALSE),VLOOKUP(AN25,英雄升星数值!$A$3:$U$8,18,FALSE)))+IF(AN26=1,英雄装备数值!$D$3*AN27*英雄装备数值!$D$46/战力关系!$B$6,IF(AN26=2,英雄装备数值!$D$4*AN27*英雄装备数值!$D$46/战力关系!$B$6,英雄装备数值!$D$5*AN27*英雄装备数值!$D$46/战力关系!$B$6))</f>
        <v>48</v>
      </c>
      <c r="AO36" s="41" t="s">
        <v>5</v>
      </c>
      <c r="AP36" s="49">
        <f>IF(AP23=1,VLOOKUP(AP25,英雄升星数值!$A$3:$U$8,4,FALSE),IF(AP23=2,VLOOKUP(AP25,英雄升星数值!$A$3:$U$8,11,FALSE),VLOOKUP(AP25,英雄升星数值!$A$3:$U$8,18,FALSE)))+IF(AP26=1,英雄装备数值!$D$3*AP27*英雄装备数值!$D$46/战力关系!$B$6,IF(AP26=2,英雄装备数值!$D$4*AP27*英雄装备数值!$D$46/战力关系!$B$6,英雄装备数值!$D$5*AP27*英雄装备数值!$D$46/战力关系!$B$6))</f>
        <v>80.25</v>
      </c>
    </row>
    <row r="37" spans="1:42" x14ac:dyDescent="0.3">
      <c r="A37" s="48" t="s">
        <v>6</v>
      </c>
      <c r="B37" s="42">
        <f>IF(B23=1,VLOOKUP(B25,英雄升星数值!$A$3:$U$8,5,FALSE),IF(B23=2,VLOOKUP(B25,英雄升星数值!$A$3:$U$8,12,FALSE),VLOOKUP(B25,英雄升星数值!$A$3:$U$8,19,FALSE)))+IF(B26=1,英雄装备数值!$D$3*B27*英雄装备数值!$D$47/战力关系!$B$7,IF(B26=2,英雄装备数值!$D$4*B27*英雄装备数值!$D$47/战力关系!$B$7,英雄装备数值!$D$5*B27*英雄装备数值!$D$47/战力关系!$B$7))</f>
        <v>0.11249999999999999</v>
      </c>
      <c r="C37" s="41" t="s">
        <v>6</v>
      </c>
      <c r="D37" s="42">
        <f>IF(D23=1,VLOOKUP(D25,英雄升星数值!$A$3:$U$8,5,FALSE),IF(D23=2,VLOOKUP(D25,英雄升星数值!$A$3:$U$8,12,FALSE),VLOOKUP(D25,英雄升星数值!$A$3:$U$8,19,FALSE)))+IF(D26=1,英雄装备数值!$D$3*D27*英雄装备数值!$D$47/战力关系!$B$7,IF(D26=2,英雄装备数值!$D$4*D27*英雄装备数值!$D$47/战力关系!$B$7,英雄装备数值!$D$5*D27*英雄装备数值!$D$47/战力关系!$B$7))</f>
        <v>0.09</v>
      </c>
      <c r="E37" s="41" t="s">
        <v>6</v>
      </c>
      <c r="F37" s="50">
        <f>IF(F23=1,VLOOKUP(F25,英雄升星数值!$A$3:$U$8,5,FALSE),IF(F23=2,VLOOKUP(F25,英雄升星数值!$A$3:$U$8,12,FALSE),VLOOKUP(F25,英雄升星数值!$A$3:$U$8,19,FALSE)))+IF(F26=1,英雄装备数值!$D$3*F27*英雄装备数值!$D$47/战力关系!$B$7,IF(F26=2,英雄装备数值!$D$4*F27*英雄装备数值!$D$47/战力关系!$B$7,英雄装备数值!$D$5*F27*英雄装备数值!$D$47/战力关系!$B$7))</f>
        <v>0.09</v>
      </c>
      <c r="G37" s="45" t="s">
        <v>6</v>
      </c>
      <c r="H37" s="42">
        <f>IF(H23=1,VLOOKUP(H25,英雄升星数值!$A$3:$U$8,5,FALSE),IF(H23=2,VLOOKUP(H25,英雄升星数值!$A$3:$U$8,12,FALSE),VLOOKUP(H25,英雄升星数值!$A$3:$U$8,19,FALSE)))+IF(H26=1,英雄装备数值!$D$3*H27*英雄装备数值!$D$47/战力关系!$B$7,IF(H26=2,英雄装备数值!$D$4*H27*英雄装备数值!$D$47/战力关系!$B$7,英雄装备数值!$D$5*H27*英雄装备数值!$D$47/战力关系!$B$7))</f>
        <v>0.30499999999999999</v>
      </c>
      <c r="I37" s="41" t="s">
        <v>6</v>
      </c>
      <c r="J37" s="42">
        <f>IF(J23=1,VLOOKUP(J25,英雄升星数值!$A$3:$U$8,5,FALSE),IF(J23=2,VLOOKUP(J25,英雄升星数值!$A$3:$U$8,12,FALSE),VLOOKUP(J25,英雄升星数值!$A$3:$U$8,19,FALSE)))+IF(J26=1,英雄装备数值!$D$3*J27*英雄装备数值!$D$47/战力关系!$B$7,IF(J26=2,英雄装备数值!$D$4*J27*英雄装备数值!$D$47/战力关系!$B$7,英雄装备数值!$D$5*J27*英雄装备数值!$D$47/战力关系!$B$7))</f>
        <v>0.1925</v>
      </c>
      <c r="K37" s="41" t="s">
        <v>6</v>
      </c>
      <c r="L37" s="50">
        <f>IF(L23=1,VLOOKUP(L25,英雄升星数值!$A$3:$U$8,5,FALSE),IF(L23=2,VLOOKUP(L25,英雄升星数值!$A$3:$U$8,12,FALSE),VLOOKUP(L25,英雄升星数值!$A$3:$U$8,19,FALSE)))+IF(L26=1,英雄装备数值!$D$3*L27*英雄装备数值!$D$47/战力关系!$B$7,IF(L26=2,英雄装备数值!$D$4*L27*英雄装备数值!$D$47/战力关系!$B$7,英雄装备数值!$D$5*L27*英雄装备数值!$D$47/战力关系!$B$7))</f>
        <v>0.16999999999999998</v>
      </c>
      <c r="M37" s="48" t="s">
        <v>6</v>
      </c>
      <c r="N37" s="42">
        <f>IF(N23=1,VLOOKUP(N25,英雄升星数值!$A$3:$U$8,5,FALSE),IF(N23=2,VLOOKUP(N25,英雄升星数值!$A$3:$U$8,12,FALSE),VLOOKUP(N25,英雄升星数值!$A$3:$U$8,19,FALSE)))+IF(N26=1,英雄装备数值!$D$3*N27*英雄装备数值!$D$47/战力关系!$B$7,IF(N26=2,英雄装备数值!$D$4*N27*英雄装备数值!$D$47/战力关系!$B$7,英雄装备数值!$D$5*N27*英雄装备数值!$D$47/战力关系!$B$7))</f>
        <v>0.44399999999999995</v>
      </c>
      <c r="O37" s="41" t="s">
        <v>6</v>
      </c>
      <c r="P37" s="42">
        <f>IF(P23=1,VLOOKUP(P25,英雄升星数值!$A$3:$U$8,5,FALSE),IF(P23=2,VLOOKUP(P25,英雄升星数值!$A$3:$U$8,12,FALSE),VLOOKUP(P25,英雄升星数值!$A$3:$U$8,19,FALSE)))+IF(P26=1,英雄装备数值!$D$3*P27*英雄装备数值!$D$47/战力关系!$B$7,IF(P26=2,英雄装备数值!$D$4*P27*英雄装备数值!$D$47/战力关系!$B$7,英雄装备数值!$D$5*P27*英雄装备数值!$D$47/战力关系!$B$7))</f>
        <v>0.42499999999999999</v>
      </c>
      <c r="Q37" s="41" t="s">
        <v>6</v>
      </c>
      <c r="R37" s="50">
        <f>IF(R23=1,VLOOKUP(R25,英雄升星数值!$A$3:$U$8,5,FALSE),IF(R23=2,VLOOKUP(R25,英雄升星数值!$A$3:$U$8,12,FALSE),VLOOKUP(R25,英雄升星数值!$A$3:$U$8,19,FALSE)))+IF(R26=1,英雄装备数值!$D$3*R27*英雄装备数值!$D$47/战力关系!$B$7,IF(R26=2,英雄装备数值!$D$4*R27*英雄装备数值!$D$47/战力关系!$B$7,英雄装备数值!$D$5*R27*英雄装备数值!$D$47/战力关系!$B$7))</f>
        <v>0.42499999999999999</v>
      </c>
      <c r="S37" s="48" t="s">
        <v>6</v>
      </c>
      <c r="T37" s="42">
        <f>IF(T23=1,VLOOKUP(T25,英雄升星数值!$A$3:$U$8,5,FALSE),IF(T23=2,VLOOKUP(T25,英雄升星数值!$A$3:$U$8,12,FALSE),VLOOKUP(T25,英雄升星数值!$A$3:$U$8,19,FALSE)))+IF(T26=1,英雄装备数值!$D$3*T27*英雄装备数值!$D$47/战力关系!$B$7,IF(T26=2,英雄装备数值!$D$4*T27*英雄装备数值!$D$47/战力关系!$B$7,英雄装备数值!$D$5*T27*英雄装备数值!$D$47/战力关系!$B$7))</f>
        <v>0.44399999999999995</v>
      </c>
      <c r="U37" s="41" t="s">
        <v>6</v>
      </c>
      <c r="V37" s="42">
        <f>IF(V23=1,VLOOKUP(V25,英雄升星数值!$A$3:$U$8,5,FALSE),IF(V23=2,VLOOKUP(V25,英雄升星数值!$A$3:$U$8,12,FALSE),VLOOKUP(V25,英雄升星数值!$A$3:$U$8,19,FALSE)))+IF(V26=1,英雄装备数值!$D$3*V27*英雄装备数值!$D$47/战力关系!$B$7,IF(V26=2,英雄装备数值!$D$4*V27*英雄装备数值!$D$47/战力关系!$B$7,英雄装备数值!$D$5*V27*英雄装备数值!$D$47/战力关系!$B$7))</f>
        <v>0.53750000000000009</v>
      </c>
      <c r="W37" s="41" t="s">
        <v>6</v>
      </c>
      <c r="X37" s="50">
        <f>IF(X23=1,VLOOKUP(X25,英雄升星数值!$A$3:$U$8,5,FALSE),IF(X23=2,VLOOKUP(X25,英雄升星数值!$A$3:$U$8,12,FALSE),VLOOKUP(X25,英雄升星数值!$A$3:$U$8,19,FALSE)))+IF(X26=1,英雄装备数值!$D$3*X27*英雄装备数值!$D$47/战力关系!$B$7,IF(X26=2,英雄装备数值!$D$4*X27*英雄装备数值!$D$47/战力关系!$B$7,英雄装备数值!$D$5*X27*英雄装备数值!$D$47/战力关系!$B$7))</f>
        <v>0.42499999999999999</v>
      </c>
      <c r="Y37" s="48" t="s">
        <v>6</v>
      </c>
      <c r="Z37" s="42">
        <f>IF(Z23=1,VLOOKUP(Z25,英雄升星数值!$A$3:$U$8,5,FALSE),IF(Z23=2,VLOOKUP(Z25,英雄升星数值!$A$3:$U$8,12,FALSE),VLOOKUP(Z25,英雄升星数值!$A$3:$U$8,19,FALSE)))+IF(Z26=1,英雄装备数值!$D$3*Z27*英雄装备数值!$D$47/战力关系!$B$7,IF(Z26=2,英雄装备数值!$D$4*Z27*英雄装备数值!$D$47/战力关系!$B$7,英雄装备数值!$D$5*Z27*英雄装备数值!$D$47/战力关系!$B$7))</f>
        <v>0.44399999999999995</v>
      </c>
      <c r="AA37" s="41" t="s">
        <v>6</v>
      </c>
      <c r="AB37" s="42">
        <f>IF(AB23=1,VLOOKUP(AB25,英雄升星数值!$A$3:$U$8,5,FALSE),IF(AB23=2,VLOOKUP(AB25,英雄升星数值!$A$3:$U$8,12,FALSE),VLOOKUP(AB25,英雄升星数值!$A$3:$U$8,19,FALSE)))+IF(AB26=1,英雄装备数值!$D$3*AB27*英雄装备数值!$D$47/战力关系!$B$7,IF(AB26=2,英雄装备数值!$D$4*AB27*英雄装备数值!$D$47/战力关系!$B$7,英雄装备数值!$D$5*AB27*英雄装备数值!$D$47/战力关系!$B$7))</f>
        <v>0.63749999999999996</v>
      </c>
      <c r="AC37" s="41" t="s">
        <v>6</v>
      </c>
      <c r="AD37" s="50">
        <f>IF(AD23=1,VLOOKUP(AD25,英雄升星数值!$A$3:$U$8,5,FALSE),IF(AD23=2,VLOOKUP(AD25,英雄升星数值!$A$3:$U$8,12,FALSE),VLOOKUP(AD25,英雄升星数值!$A$3:$U$8,19,FALSE)))+IF(AD26=1,英雄装备数值!$D$3*AD27*英雄装备数值!$D$47/战力关系!$B$7,IF(AD26=2,英雄装备数值!$D$4*AD27*英雄装备数值!$D$47/战力关系!$B$7,英雄装备数值!$D$5*AD27*英雄装备数值!$D$47/战力关系!$B$7))</f>
        <v>0.42499999999999999</v>
      </c>
      <c r="AE37" s="48" t="s">
        <v>6</v>
      </c>
      <c r="AF37" s="42">
        <f>IF(AF23=1,VLOOKUP(AF25,英雄升星数值!$A$3:$U$8,5,FALSE),IF(AF23=2,VLOOKUP(AF25,英雄升星数值!$A$3:$U$8,12,FALSE),VLOOKUP(AF25,英雄升星数值!$A$3:$U$8,19,FALSE)))+IF(AF26=1,英雄装备数值!$D$3*AF27*英雄装备数值!$D$47/战力关系!$B$7,IF(AF26=2,英雄装备数值!$D$4*AF27*英雄装备数值!$D$47/战力关系!$B$7,英雄装备数值!$D$5*AF27*英雄装备数值!$D$47/战力关系!$B$7))</f>
        <v>0.44399999999999995</v>
      </c>
      <c r="AG37" s="41" t="s">
        <v>6</v>
      </c>
      <c r="AH37" s="42">
        <f>IF(AH23=1,VLOOKUP(AH25,英雄升星数值!$A$3:$U$8,5,FALSE),IF(AH23=2,VLOOKUP(AH25,英雄升星数值!$A$3:$U$8,12,FALSE),VLOOKUP(AH25,英雄升星数值!$A$3:$U$8,19,FALSE)))+IF(AH26=1,英雄装备数值!$D$3*AH27*英雄装备数值!$D$47/战力关系!$B$7,IF(AH26=2,英雄装备数值!$D$4*AH27*英雄装备数值!$D$47/战力关系!$B$7,英雄装备数值!$D$5*AH27*英雄装备数值!$D$47/战力关系!$B$7))</f>
        <v>0.63749999999999996</v>
      </c>
      <c r="AI37" s="41" t="s">
        <v>6</v>
      </c>
      <c r="AJ37" s="50">
        <f>IF(AJ23=1,VLOOKUP(AJ25,英雄升星数值!$A$3:$U$8,5,FALSE),IF(AJ23=2,VLOOKUP(AJ25,英雄升星数值!$A$3:$U$8,12,FALSE),VLOOKUP(AJ25,英雄升星数值!$A$3:$U$8,19,FALSE)))+IF(AJ26=1,英雄装备数值!$D$3*AJ27*英雄装备数值!$D$47/战力关系!$B$7,IF(AJ26=2,英雄装备数值!$D$4*AJ27*英雄装备数值!$D$47/战力关系!$B$7,英雄装备数值!$D$5*AJ27*英雄装备数值!$D$47/战力关系!$B$7))</f>
        <v>0.63749999999999996</v>
      </c>
      <c r="AK37" s="48" t="s">
        <v>6</v>
      </c>
      <c r="AL37" s="42">
        <f>IF(AL23=1,VLOOKUP(AL25,英雄升星数值!$A$3:$U$8,5,FALSE),IF(AL23=2,VLOOKUP(AL25,英雄升星数值!$A$3:$U$8,12,FALSE),VLOOKUP(AL25,英雄升星数值!$A$3:$U$8,19,FALSE)))+IF(AL26=1,英雄装备数值!$D$3*AL27*英雄装备数值!$D$47/战力关系!$B$7,IF(AL26=2,英雄装备数值!$D$4*AL27*英雄装备数值!$D$47/战力关系!$B$7,英雄装备数值!$D$5*AL27*英雄装备数值!$D$47/战力关系!$B$7))</f>
        <v>0.58799999999999997</v>
      </c>
      <c r="AM37" s="41" t="s">
        <v>6</v>
      </c>
      <c r="AN37" s="42">
        <f>IF(AN23=1,VLOOKUP(AN25,英雄升星数值!$A$3:$U$8,5,FALSE),IF(AN23=2,VLOOKUP(AN25,英雄升星数值!$A$3:$U$8,12,FALSE),VLOOKUP(AN25,英雄升星数值!$A$3:$U$8,19,FALSE)))+IF(AN26=1,英雄装备数值!$D$3*AN27*英雄装备数值!$D$47/战力关系!$B$7,IF(AN26=2,英雄装备数值!$D$4*AN27*英雄装备数值!$D$47/战力关系!$B$7,英雄装备数值!$D$5*AN27*英雄装备数值!$D$47/战力关系!$B$7))</f>
        <v>0.44399999999999995</v>
      </c>
      <c r="AO37" s="41" t="s">
        <v>6</v>
      </c>
      <c r="AP37" s="50">
        <f>IF(AP23=1,VLOOKUP(AP25,英雄升星数值!$A$3:$U$8,5,FALSE),IF(AP23=2,VLOOKUP(AP25,英雄升星数值!$A$3:$U$8,12,FALSE),VLOOKUP(AP25,英雄升星数值!$A$3:$U$8,19,FALSE)))+IF(AP26=1,英雄装备数值!$D$3*AP27*英雄装备数值!$D$47/战力关系!$B$7,IF(AP26=2,英雄装备数值!$D$4*AP27*英雄装备数值!$D$47/战力关系!$B$7,英雄装备数值!$D$5*AP27*英雄装备数值!$D$47/战力关系!$B$7))</f>
        <v>0.63749999999999996</v>
      </c>
    </row>
    <row r="38" spans="1:42" x14ac:dyDescent="0.3">
      <c r="A38" s="48" t="s">
        <v>116</v>
      </c>
      <c r="B38" s="42">
        <f>IF(B23=1,VLOOKUP(B25,英雄升星数值!$A$3:$U$8,6,FALSE),IF(B23=2,VLOOKUP(B25,英雄升星数值!$A$3:$U$8,13,FALSE),VLOOKUP(B25,英雄升星数值!$A$3:$U$8,20,FALSE)))+IF(B26=1,英雄装备数值!$D$3*B27*英雄装备数值!$D$48/战力关系!$B$8,IF(B26=2,英雄装备数值!$D$4*B27*英雄装备数值!$D$48/战力关系!$B$8,英雄装备数值!$D$5*B27*英雄装备数值!$D$48/战力关系!$B$8))</f>
        <v>8.4374999999999992E-2</v>
      </c>
      <c r="C38" s="41" t="s">
        <v>116</v>
      </c>
      <c r="D38" s="42">
        <f>IF(D23=1,VLOOKUP(D25,英雄升星数值!$A$3:$U$8,6,FALSE),IF(D23=2,VLOOKUP(D25,英雄升星数值!$A$3:$U$8,13,FALSE),VLOOKUP(D25,英雄升星数值!$A$3:$U$8,20,FALSE)))+IF(D26=1,英雄装备数值!$D$3*D27*英雄装备数值!$D$48/战力关系!$B$8,IF(D26=2,英雄装备数值!$D$4*D27*英雄装备数值!$D$48/战力关系!$B$8,英雄装备数值!$D$5*D27*英雄装备数值!$D$48/战力关系!$B$8))</f>
        <v>6.7499999999999991E-2</v>
      </c>
      <c r="E38" s="41" t="s">
        <v>116</v>
      </c>
      <c r="F38" s="50">
        <f>IF(F23=1,VLOOKUP(F25,英雄升星数值!$A$3:$U$8,6,FALSE),IF(F23=2,VLOOKUP(F25,英雄升星数值!$A$3:$U$8,13,FALSE),VLOOKUP(F25,英雄升星数值!$A$3:$U$8,20,FALSE)))+IF(F26=1,英雄装备数值!$D$3*F27*英雄装备数值!$D$48/战力关系!$B$8,IF(F26=2,英雄装备数值!$D$4*F27*英雄装备数值!$D$48/战力关系!$B$8,英雄装备数值!$D$5*F27*英雄装备数值!$D$48/战力关系!$B$8))</f>
        <v>6.7499999999999991E-2</v>
      </c>
      <c r="G38" s="45" t="s">
        <v>116</v>
      </c>
      <c r="H38" s="42">
        <f>IF(H23=1,VLOOKUP(H25,英雄升星数值!$A$3:$U$8,6,FALSE),IF(H23=2,VLOOKUP(H25,英雄升星数值!$A$3:$U$8,13,FALSE),VLOOKUP(H25,英雄升星数值!$A$3:$U$8,20,FALSE)))+IF(H26=1,英雄装备数值!$D$3*H27*英雄装备数值!$D$48/战力关系!$B$8,IF(H26=2,英雄装备数值!$D$4*H27*英雄装备数值!$D$48/战力关系!$B$8,英雄装备数值!$D$5*H27*英雄装备数值!$D$48/战力关系!$B$8))</f>
        <v>0.23274999999999998</v>
      </c>
      <c r="I38" s="41" t="s">
        <v>116</v>
      </c>
      <c r="J38" s="42">
        <f>IF(J23=1,VLOOKUP(J25,英雄升星数值!$A$3:$U$8,6,FALSE),IF(J23=2,VLOOKUP(J25,英雄升星数值!$A$3:$U$8,13,FALSE),VLOOKUP(J25,英雄升星数值!$A$3:$U$8,20,FALSE)))+IF(J26=1,英雄装备数值!$D$3*J27*英雄装备数值!$D$48/战力关系!$B$8,IF(J26=2,英雄装备数值!$D$4*J27*英雄装备数值!$D$48/战力关系!$B$8,英雄装备数值!$D$5*J27*英雄装备数值!$D$48/战力关系!$B$8))</f>
        <v>0.14837499999999998</v>
      </c>
      <c r="K38" s="41" t="s">
        <v>116</v>
      </c>
      <c r="L38" s="50">
        <f>IF(L23=1,VLOOKUP(L25,英雄升星数值!$A$3:$U$8,6,FALSE),IF(L23=2,VLOOKUP(L25,英雄升星数值!$A$3:$U$8,13,FALSE),VLOOKUP(L25,英雄升星数值!$A$3:$U$8,20,FALSE)))+IF(L26=1,英雄装备数值!$D$3*L27*英雄装备数值!$D$48/战力关系!$B$8,IF(L26=2,英雄装备数值!$D$4*L27*英雄装备数值!$D$48/战力关系!$B$8,英雄装备数值!$D$5*L27*英雄装备数值!$D$48/战力关系!$B$8))</f>
        <v>0.13150000000000001</v>
      </c>
      <c r="M38" s="48" t="s">
        <v>116</v>
      </c>
      <c r="N38" s="42">
        <f>IF(N23=1,VLOOKUP(N25,英雄升星数值!$A$3:$U$8,6,FALSE),IF(N23=2,VLOOKUP(N25,英雄升星数值!$A$3:$U$8,13,FALSE),VLOOKUP(N25,英雄升星数值!$A$3:$U$8,20,FALSE)))+IF(N26=1,英雄装备数值!$D$3*N27*英雄装备数值!$D$48/战力关系!$B$8,IF(N26=2,英雄装备数值!$D$4*N27*英雄装备数值!$D$48/战力关系!$B$8,英雄装备数值!$D$5*N27*英雄装备数值!$D$48/战力关系!$B$8))</f>
        <v>0.34799999999999998</v>
      </c>
      <c r="O38" s="41" t="s">
        <v>116</v>
      </c>
      <c r="P38" s="42">
        <f>IF(P23=1,VLOOKUP(P25,英雄升星数值!$A$3:$U$8,6,FALSE),IF(P23=2,VLOOKUP(P25,英雄升星数值!$A$3:$U$8,13,FALSE),VLOOKUP(P25,英雄升星数值!$A$3:$U$8,20,FALSE)))+IF(P26=1,英雄装备数值!$D$3*P27*英雄装备数值!$D$48/战力关系!$B$8,IF(P26=2,英雄装备数值!$D$4*P27*英雄装备数值!$D$48/战力关系!$B$8,英雄装备数值!$D$5*P27*英雄装备数值!$D$48/战力关系!$B$8))</f>
        <v>0.32874999999999999</v>
      </c>
      <c r="Q38" s="41" t="s">
        <v>116</v>
      </c>
      <c r="R38" s="50">
        <f>IF(R23=1,VLOOKUP(R25,英雄升星数值!$A$3:$U$8,6,FALSE),IF(R23=2,VLOOKUP(R25,英雄升星数值!$A$3:$U$8,13,FALSE),VLOOKUP(R25,英雄升星数值!$A$3:$U$8,20,FALSE)))+IF(R26=1,英雄装备数值!$D$3*R27*英雄装备数值!$D$48/战力关系!$B$8,IF(R26=2,英雄装备数值!$D$4*R27*英雄装备数值!$D$48/战力关系!$B$8,英雄装备数值!$D$5*R27*英雄装备数值!$D$48/战力关系!$B$8))</f>
        <v>0.32874999999999999</v>
      </c>
      <c r="S38" s="48" t="s">
        <v>116</v>
      </c>
      <c r="T38" s="42">
        <f>IF(T23=1,VLOOKUP(T25,英雄升星数值!$A$3:$U$8,6,FALSE),IF(T23=2,VLOOKUP(T25,英雄升星数值!$A$3:$U$8,13,FALSE),VLOOKUP(T25,英雄升星数值!$A$3:$U$8,20,FALSE)))+IF(T26=1,英雄装备数值!$D$3*T27*英雄装备数值!$D$48/战力关系!$B$8,IF(T26=2,英雄装备数值!$D$4*T27*英雄装备数值!$D$48/战力关系!$B$8,英雄装备数值!$D$5*T27*英雄装备数值!$D$48/战力关系!$B$8))</f>
        <v>0.34799999999999998</v>
      </c>
      <c r="U38" s="41" t="s">
        <v>116</v>
      </c>
      <c r="V38" s="42">
        <f>IF(V23=1,VLOOKUP(V25,英雄升星数值!$A$3:$U$8,6,FALSE),IF(V23=2,VLOOKUP(V25,英雄升星数值!$A$3:$U$8,13,FALSE),VLOOKUP(V25,英雄升星数值!$A$3:$U$8,20,FALSE)))+IF(V26=1,英雄装备数值!$D$3*V27*英雄装备数值!$D$48/战力关系!$B$8,IF(V26=2,英雄装备数值!$D$4*V27*英雄装备数值!$D$48/战力关系!$B$8,英雄装备数值!$D$5*V27*英雄装备数值!$D$48/战力关系!$B$8))</f>
        <v>0.41312499999999996</v>
      </c>
      <c r="W38" s="41" t="s">
        <v>116</v>
      </c>
      <c r="X38" s="50">
        <f>IF(X23=1,VLOOKUP(X25,英雄升星数值!$A$3:$U$8,6,FALSE),IF(X23=2,VLOOKUP(X25,英雄升星数值!$A$3:$U$8,13,FALSE),VLOOKUP(X25,英雄升星数值!$A$3:$U$8,20,FALSE)))+IF(X26=1,英雄装备数值!$D$3*X27*英雄装备数值!$D$48/战力关系!$B$8,IF(X26=2,英雄装备数值!$D$4*X27*英雄装备数值!$D$48/战力关系!$B$8,英雄装备数值!$D$5*X27*英雄装备数值!$D$48/战力关系!$B$8))</f>
        <v>0.32874999999999999</v>
      </c>
      <c r="Y38" s="48" t="s">
        <v>116</v>
      </c>
      <c r="Z38" s="42">
        <f>IF(Z23=1,VLOOKUP(Z25,英雄升星数值!$A$3:$U$8,6,FALSE),IF(Z23=2,VLOOKUP(Z25,英雄升星数值!$A$3:$U$8,13,FALSE),VLOOKUP(Z25,英雄升星数值!$A$3:$U$8,20,FALSE)))+IF(Z26=1,英雄装备数值!$D$3*Z27*英雄装备数值!$D$48/战力关系!$B$8,IF(Z26=2,英雄装备数值!$D$4*Z27*英雄装备数值!$D$48/战力关系!$B$8,英雄装备数值!$D$5*Z27*英雄装备数值!$D$48/战力关系!$B$8))</f>
        <v>0.34799999999999998</v>
      </c>
      <c r="AA38" s="41" t="s">
        <v>116</v>
      </c>
      <c r="AB38" s="42">
        <f>IF(AB23=1,VLOOKUP(AB25,英雄升星数值!$A$3:$U$8,6,FALSE),IF(AB23=2,VLOOKUP(AB25,英雄升星数值!$A$3:$U$8,13,FALSE),VLOOKUP(AB25,英雄升星数值!$A$3:$U$8,20,FALSE)))+IF(AB26=1,英雄装备数值!$D$3*AB27*英雄装备数值!$D$48/战力关系!$B$8,IF(AB26=2,英雄装备数值!$D$4*AB27*英雄装备数值!$D$48/战力关系!$B$8,英雄装备数值!$D$5*AB27*英雄装备数值!$D$48/战力关系!$B$8))</f>
        <v>0.49312499999999998</v>
      </c>
      <c r="AC38" s="41" t="s">
        <v>116</v>
      </c>
      <c r="AD38" s="50">
        <f>IF(AD23=1,VLOOKUP(AD25,英雄升星数值!$A$3:$U$8,6,FALSE),IF(AD23=2,VLOOKUP(AD25,英雄升星数值!$A$3:$U$8,13,FALSE),VLOOKUP(AD25,英雄升星数值!$A$3:$U$8,20,FALSE)))+IF(AD26=1,英雄装备数值!$D$3*AD27*英雄装备数值!$D$48/战力关系!$B$8,IF(AD26=2,英雄装备数值!$D$4*AD27*英雄装备数值!$D$48/战力关系!$B$8,英雄装备数值!$D$5*AD27*英雄装备数值!$D$48/战力关系!$B$8))</f>
        <v>0.32874999999999999</v>
      </c>
      <c r="AE38" s="48" t="s">
        <v>116</v>
      </c>
      <c r="AF38" s="42">
        <f>IF(AF23=1,VLOOKUP(AF25,英雄升星数值!$A$3:$U$8,6,FALSE),IF(AF23=2,VLOOKUP(AF25,英雄升星数值!$A$3:$U$8,13,FALSE),VLOOKUP(AF25,英雄升星数值!$A$3:$U$8,20,FALSE)))+IF(AF26=1,英雄装备数值!$D$3*AF27*英雄装备数值!$D$48/战力关系!$B$8,IF(AF26=2,英雄装备数值!$D$4*AF27*英雄装备数值!$D$48/战力关系!$B$8,英雄装备数值!$D$5*AF27*英雄装备数值!$D$48/战力关系!$B$8))</f>
        <v>0.34799999999999998</v>
      </c>
      <c r="AG38" s="41" t="s">
        <v>116</v>
      </c>
      <c r="AH38" s="42">
        <f>IF(AH23=1,VLOOKUP(AH25,英雄升星数值!$A$3:$U$8,6,FALSE),IF(AH23=2,VLOOKUP(AH25,英雄升星数值!$A$3:$U$8,13,FALSE),VLOOKUP(AH25,英雄升星数值!$A$3:$U$8,20,FALSE)))+IF(AH26=1,英雄装备数值!$D$3*AH27*英雄装备数值!$D$48/战力关系!$B$8,IF(AH26=2,英雄装备数值!$D$4*AH27*英雄装备数值!$D$48/战力关系!$B$8,英雄装备数值!$D$5*AH27*英雄装备数值!$D$48/战力关系!$B$8))</f>
        <v>0.49312499999999998</v>
      </c>
      <c r="AI38" s="41" t="s">
        <v>116</v>
      </c>
      <c r="AJ38" s="50">
        <f>IF(AJ23=1,VLOOKUP(AJ25,英雄升星数值!$A$3:$U$8,6,FALSE),IF(AJ23=2,VLOOKUP(AJ25,英雄升星数值!$A$3:$U$8,13,FALSE),VLOOKUP(AJ25,英雄升星数值!$A$3:$U$8,20,FALSE)))+IF(AJ26=1,英雄装备数值!$D$3*AJ27*英雄装备数值!$D$48/战力关系!$B$8,IF(AJ26=2,英雄装备数值!$D$4*AJ27*英雄装备数值!$D$48/战力关系!$B$8,英雄装备数值!$D$5*AJ27*英雄装备数值!$D$48/战力关系!$B$8))</f>
        <v>0.49312499999999998</v>
      </c>
      <c r="AK38" s="48" t="s">
        <v>116</v>
      </c>
      <c r="AL38" s="42">
        <f>IF(AL23=1,VLOOKUP(AL25,英雄升星数值!$A$3:$U$8,6,FALSE),IF(AL23=2,VLOOKUP(AL25,英雄升星数值!$A$3:$U$8,13,FALSE),VLOOKUP(AL25,英雄升星数值!$A$3:$U$8,20,FALSE)))+IF(AL26=1,英雄装备数值!$D$3*AL27*英雄装备数值!$D$48/战力关系!$B$8,IF(AL26=2,英雄装备数值!$D$4*AL27*英雄装备数值!$D$48/战力关系!$B$8,英雄装备数值!$D$5*AL27*英雄装备数值!$D$48/战力关系!$B$8))</f>
        <v>0.45599999999999996</v>
      </c>
      <c r="AM38" s="41" t="s">
        <v>116</v>
      </c>
      <c r="AN38" s="42">
        <f>IF(AN23=1,VLOOKUP(AN25,英雄升星数值!$A$3:$U$8,6,FALSE),IF(AN23=2,VLOOKUP(AN25,英雄升星数值!$A$3:$U$8,13,FALSE),VLOOKUP(AN25,英雄升星数值!$A$3:$U$8,20,FALSE)))+IF(AN26=1,英雄装备数值!$D$3*AN27*英雄装备数值!$D$48/战力关系!$B$8,IF(AN26=2,英雄装备数值!$D$4*AN27*英雄装备数值!$D$48/战力关系!$B$8,英雄装备数值!$D$5*AN27*英雄装备数值!$D$48/战力关系!$B$8))</f>
        <v>0.34799999999999998</v>
      </c>
      <c r="AO38" s="41" t="s">
        <v>116</v>
      </c>
      <c r="AP38" s="50">
        <f>IF(AP23=1,VLOOKUP(AP25,英雄升星数值!$A$3:$U$8,6,FALSE),IF(AP23=2,VLOOKUP(AP25,英雄升星数值!$A$3:$U$8,13,FALSE),VLOOKUP(AP25,英雄升星数值!$A$3:$U$8,20,FALSE)))+IF(AP26=1,英雄装备数值!$D$3*AP27*英雄装备数值!$D$48/战力关系!$B$8,IF(AP26=2,英雄装备数值!$D$4*AP27*英雄装备数值!$D$48/战力关系!$B$8,英雄装备数值!$D$5*AP27*英雄装备数值!$D$48/战力关系!$B$8))</f>
        <v>0.49312499999999998</v>
      </c>
    </row>
    <row r="39" spans="1:42" x14ac:dyDescent="0.3">
      <c r="A39" s="48" t="s">
        <v>19</v>
      </c>
      <c r="B39" s="43">
        <f>SUMPRODUCT((B32:B38),(战力关系!$B$2:$B$8))</f>
        <v>1334.73</v>
      </c>
      <c r="C39" s="41" t="s">
        <v>19</v>
      </c>
      <c r="D39" s="43">
        <f>SUMPRODUCT((D32:D38),(战力关系!$B$2:$B$8))</f>
        <v>1013.1</v>
      </c>
      <c r="E39" s="41" t="s">
        <v>19</v>
      </c>
      <c r="F39" s="51">
        <f>SUMPRODUCT((F32:F38),(战力关系!$B$2:$B$8))</f>
        <v>1013.1</v>
      </c>
      <c r="G39" s="45" t="s">
        <v>19</v>
      </c>
      <c r="H39" s="43">
        <f>SUMPRODUCT((H32:H38),(战力关系!$B$2:$B$8))</f>
        <v>2350.8900000000003</v>
      </c>
      <c r="I39" s="41" t="s">
        <v>19</v>
      </c>
      <c r="J39" s="43">
        <f>SUMPRODUCT((J32:J38),(战力关系!$B$2:$B$8))</f>
        <v>1942.4700000000003</v>
      </c>
      <c r="K39" s="41" t="s">
        <v>19</v>
      </c>
      <c r="L39" s="51">
        <f>SUMPRODUCT((L32:L38),(战力关系!$B$2:$B$8))</f>
        <v>1641</v>
      </c>
      <c r="M39" s="48" t="s">
        <v>19</v>
      </c>
      <c r="N39" s="43">
        <f>SUMPRODUCT((N32:N38),(战力关系!$B$2:$B$8))</f>
        <v>4369.6064999999999</v>
      </c>
      <c r="O39" s="41" t="s">
        <v>19</v>
      </c>
      <c r="P39" s="43">
        <f>SUMPRODUCT((P32:P38),(战力关系!$B$2:$B$8))</f>
        <v>3738.2940000000003</v>
      </c>
      <c r="Q39" s="41" t="s">
        <v>19</v>
      </c>
      <c r="R39" s="51">
        <f>SUMPRODUCT((R32:R38),(战力关系!$B$2:$B$8))</f>
        <v>3617.9100000000003</v>
      </c>
      <c r="S39" s="48" t="s">
        <v>19</v>
      </c>
      <c r="T39" s="43">
        <f>SUMPRODUCT((T32:T38),(战力关系!$B$2:$B$8))</f>
        <v>4761.5339999999997</v>
      </c>
      <c r="U39" s="41" t="s">
        <v>19</v>
      </c>
      <c r="V39" s="43">
        <f>SUMPRODUCT((V32:V38),(战力关系!$B$2:$B$8))</f>
        <v>4425.6509999999998</v>
      </c>
      <c r="W39" s="41" t="s">
        <v>19</v>
      </c>
      <c r="X39" s="51">
        <f>SUMPRODUCT((X32:X38),(战力关系!$B$2:$B$8))</f>
        <v>4074.8760000000002</v>
      </c>
      <c r="Y39" s="48" t="s">
        <v>19</v>
      </c>
      <c r="Z39" s="43">
        <f>SUMPRODUCT((Z32:Z38),(战力关系!$B$2:$B$8))</f>
        <v>5425.53</v>
      </c>
      <c r="AA39" s="41" t="s">
        <v>19</v>
      </c>
      <c r="AB39" s="43">
        <f>SUMPRODUCT((AB32:AB38),(战力关系!$B$2:$B$8))</f>
        <v>5289.9779999999992</v>
      </c>
      <c r="AC39" s="41" t="s">
        <v>19</v>
      </c>
      <c r="AD39" s="51">
        <f>SUMPRODUCT((AD32:AD38),(战力关系!$B$2:$B$8))</f>
        <v>4483.2180000000008</v>
      </c>
      <c r="AE39" s="48" t="s">
        <v>19</v>
      </c>
      <c r="AF39" s="43">
        <f>SUMPRODUCT((AF32:AF38),(战力关系!$B$2:$B$8))</f>
        <v>5636.79</v>
      </c>
      <c r="AG39" s="41" t="s">
        <v>19</v>
      </c>
      <c r="AH39" s="43">
        <f>SUMPRODUCT((AH32:AH38),(战力关系!$B$2:$B$8))</f>
        <v>5427.6329999999998</v>
      </c>
      <c r="AI39" s="41" t="s">
        <v>19</v>
      </c>
      <c r="AJ39" s="51">
        <f>SUMPRODUCT((AJ32:AJ38),(战力关系!$B$2:$B$8))</f>
        <v>5427.6329999999998</v>
      </c>
      <c r="AK39" s="48" t="s">
        <v>19</v>
      </c>
      <c r="AL39" s="43">
        <f>SUMPRODUCT((AL32:AL38),(战力关系!$B$2:$B$8))</f>
        <v>6576.06</v>
      </c>
      <c r="AM39" s="41" t="s">
        <v>19</v>
      </c>
      <c r="AN39" s="43">
        <f>SUMPRODUCT((AN32:AN38),(战力关系!$B$2:$B$8))</f>
        <v>6098.01</v>
      </c>
      <c r="AO39" s="41" t="s">
        <v>19</v>
      </c>
      <c r="AP39" s="51">
        <f>SUMPRODUCT((AP32:AP38),(战力关系!$B$2:$B$8))</f>
        <v>5815.7520000000004</v>
      </c>
    </row>
    <row r="40" spans="1:42" ht="17.25" thickBot="1" x14ac:dyDescent="0.35">
      <c r="A40" s="144">
        <f>B39+D39+F39</f>
        <v>3360.93</v>
      </c>
      <c r="B40" s="145"/>
      <c r="C40" s="145"/>
      <c r="D40" s="145"/>
      <c r="E40" s="145"/>
      <c r="F40" s="146"/>
      <c r="G40" s="144">
        <f>H39+J39+L39</f>
        <v>5934.3600000000006</v>
      </c>
      <c r="H40" s="145"/>
      <c r="I40" s="145"/>
      <c r="J40" s="145"/>
      <c r="K40" s="145"/>
      <c r="L40" s="146"/>
      <c r="M40" s="144">
        <f>N39+P39+R39</f>
        <v>11725.8105</v>
      </c>
      <c r="N40" s="145"/>
      <c r="O40" s="145"/>
      <c r="P40" s="145"/>
      <c r="Q40" s="145"/>
      <c r="R40" s="146"/>
      <c r="S40" s="144">
        <f>T39+V39+X39</f>
        <v>13262.061</v>
      </c>
      <c r="T40" s="145"/>
      <c r="U40" s="145"/>
      <c r="V40" s="145"/>
      <c r="W40" s="145"/>
      <c r="X40" s="146"/>
      <c r="Y40" s="144">
        <f>Z39+AB39+AD39</f>
        <v>15198.725999999999</v>
      </c>
      <c r="Z40" s="145"/>
      <c r="AA40" s="145"/>
      <c r="AB40" s="145"/>
      <c r="AC40" s="145"/>
      <c r="AD40" s="146"/>
      <c r="AE40" s="144">
        <f>AF39+AH39+AJ39</f>
        <v>16492.055999999997</v>
      </c>
      <c r="AF40" s="145"/>
      <c r="AG40" s="145"/>
      <c r="AH40" s="145"/>
      <c r="AI40" s="145"/>
      <c r="AJ40" s="146"/>
      <c r="AK40" s="144">
        <f>AL39+AN39+AP39</f>
        <v>18489.822</v>
      </c>
      <c r="AL40" s="145"/>
      <c r="AM40" s="145"/>
      <c r="AN40" s="145"/>
      <c r="AO40" s="145"/>
      <c r="AP40" s="146"/>
    </row>
    <row r="42" spans="1:42" ht="17.25" thickBot="1" x14ac:dyDescent="0.35"/>
    <row r="43" spans="1:42" x14ac:dyDescent="0.3">
      <c r="A43" s="113"/>
      <c r="B43" s="114" t="s">
        <v>24</v>
      </c>
      <c r="C43" s="115" t="s">
        <v>70</v>
      </c>
    </row>
    <row r="44" spans="1:42" x14ac:dyDescent="0.3">
      <c r="A44" s="116" t="s">
        <v>129</v>
      </c>
      <c r="B44" s="52">
        <f>A40</f>
        <v>3360.93</v>
      </c>
      <c r="C44" s="117">
        <f>A20</f>
        <v>5883.8850000000002</v>
      </c>
    </row>
    <row r="45" spans="1:42" x14ac:dyDescent="0.3">
      <c r="A45" s="116" t="s">
        <v>130</v>
      </c>
      <c r="B45" s="52">
        <f>G40</f>
        <v>5934.3600000000006</v>
      </c>
      <c r="C45" s="117">
        <f>G20</f>
        <v>9725.9279999999999</v>
      </c>
    </row>
    <row r="46" spans="1:42" x14ac:dyDescent="0.3">
      <c r="A46" s="116" t="s">
        <v>131</v>
      </c>
      <c r="B46" s="52">
        <f>M40</f>
        <v>11725.8105</v>
      </c>
      <c r="C46" s="117">
        <f>M20</f>
        <v>17419.9185</v>
      </c>
    </row>
    <row r="47" spans="1:42" x14ac:dyDescent="0.3">
      <c r="A47" s="116" t="s">
        <v>132</v>
      </c>
      <c r="B47" s="52">
        <f>S40</f>
        <v>13262.061</v>
      </c>
      <c r="C47" s="117">
        <f>S20</f>
        <v>19282.595999999998</v>
      </c>
    </row>
    <row r="48" spans="1:42" x14ac:dyDescent="0.3">
      <c r="A48" s="116" t="s">
        <v>133</v>
      </c>
      <c r="B48" s="52">
        <f>Y40</f>
        <v>15198.725999999999</v>
      </c>
      <c r="C48" s="117">
        <f>Y20</f>
        <v>21993.773999999998</v>
      </c>
    </row>
    <row r="49" spans="1:3" x14ac:dyDescent="0.3">
      <c r="A49" s="116" t="s">
        <v>134</v>
      </c>
      <c r="B49" s="52">
        <f>AE40</f>
        <v>16492.055999999997</v>
      </c>
      <c r="C49" s="117">
        <f>AE20</f>
        <v>23931.024000000001</v>
      </c>
    </row>
    <row r="50" spans="1:3" ht="17.25" thickBot="1" x14ac:dyDescent="0.35">
      <c r="A50" s="118" t="s">
        <v>135</v>
      </c>
      <c r="B50" s="119">
        <f>AK40</f>
        <v>18489.822</v>
      </c>
      <c r="C50" s="120">
        <f>AK20</f>
        <v>26958.18</v>
      </c>
    </row>
  </sheetData>
  <mergeCells count="70">
    <mergeCell ref="AE40:AJ40"/>
    <mergeCell ref="AK40:AP40"/>
    <mergeCell ref="A20:F20"/>
    <mergeCell ref="G20:L20"/>
    <mergeCell ref="M20:R20"/>
    <mergeCell ref="S20:X20"/>
    <mergeCell ref="Y20:AD20"/>
    <mergeCell ref="AG22:AH22"/>
    <mergeCell ref="AI22:AJ22"/>
    <mergeCell ref="A40:F40"/>
    <mergeCell ref="G40:L40"/>
    <mergeCell ref="M40:R40"/>
    <mergeCell ref="S40:X40"/>
    <mergeCell ref="Y40:AD40"/>
    <mergeCell ref="AK21:AP21"/>
    <mergeCell ref="AK22:AL22"/>
    <mergeCell ref="AM22:AN22"/>
    <mergeCell ref="AO22:AP22"/>
    <mergeCell ref="AK1:AP1"/>
    <mergeCell ref="AK2:AL2"/>
    <mergeCell ref="AM2:AN2"/>
    <mergeCell ref="AO2:AP2"/>
    <mergeCell ref="AK20:AP20"/>
    <mergeCell ref="Y22:Z22"/>
    <mergeCell ref="AA22:AB22"/>
    <mergeCell ref="AC22:AD22"/>
    <mergeCell ref="AE21:AJ21"/>
    <mergeCell ref="AE22:AF22"/>
    <mergeCell ref="AE1:AJ1"/>
    <mergeCell ref="AE2:AF2"/>
    <mergeCell ref="AG2:AH2"/>
    <mergeCell ref="AI2:AJ2"/>
    <mergeCell ref="Y21:AD21"/>
    <mergeCell ref="AE20:AJ20"/>
    <mergeCell ref="S1:X1"/>
    <mergeCell ref="S2:T2"/>
    <mergeCell ref="U2:V2"/>
    <mergeCell ref="W2:X2"/>
    <mergeCell ref="Y1:AD1"/>
    <mergeCell ref="Y2:Z2"/>
    <mergeCell ref="AA2:AB2"/>
    <mergeCell ref="AC2:AD2"/>
    <mergeCell ref="M22:N22"/>
    <mergeCell ref="O22:P22"/>
    <mergeCell ref="Q22:R22"/>
    <mergeCell ref="S21:X21"/>
    <mergeCell ref="S22:T22"/>
    <mergeCell ref="U22:V22"/>
    <mergeCell ref="W22:X22"/>
    <mergeCell ref="M1:R1"/>
    <mergeCell ref="M2:N2"/>
    <mergeCell ref="O2:P2"/>
    <mergeCell ref="Q2:R2"/>
    <mergeCell ref="A21:F21"/>
    <mergeCell ref="A2:B2"/>
    <mergeCell ref="C2:D2"/>
    <mergeCell ref="E2:F2"/>
    <mergeCell ref="A1:F1"/>
    <mergeCell ref="G1:L1"/>
    <mergeCell ref="G2:H2"/>
    <mergeCell ref="I2:J2"/>
    <mergeCell ref="K2:L2"/>
    <mergeCell ref="M21:R21"/>
    <mergeCell ref="A22:B22"/>
    <mergeCell ref="C22:D22"/>
    <mergeCell ref="E22:F22"/>
    <mergeCell ref="G21:L21"/>
    <mergeCell ref="G22:H22"/>
    <mergeCell ref="I22:J22"/>
    <mergeCell ref="K22:L22"/>
  </mergeCells>
  <phoneticPr fontId="1" type="noConversion"/>
  <conditionalFormatting sqref="B3">
    <cfRule type="cellIs" dxfId="359" priority="529" operator="equal">
      <formula>1</formula>
    </cfRule>
    <cfRule type="cellIs" dxfId="358" priority="530" operator="equal">
      <formula>2</formula>
    </cfRule>
    <cfRule type="cellIs" dxfId="357" priority="531" operator="equal">
      <formula>3</formula>
    </cfRule>
  </conditionalFormatting>
  <conditionalFormatting sqref="D3">
    <cfRule type="cellIs" dxfId="356" priority="526" operator="equal">
      <formula>1</formula>
    </cfRule>
    <cfRule type="cellIs" dxfId="355" priority="527" operator="equal">
      <formula>2</formula>
    </cfRule>
    <cfRule type="cellIs" dxfId="354" priority="528" operator="equal">
      <formula>3</formula>
    </cfRule>
  </conditionalFormatting>
  <conditionalFormatting sqref="F3">
    <cfRule type="cellIs" dxfId="353" priority="523" operator="equal">
      <formula>1</formula>
    </cfRule>
    <cfRule type="cellIs" dxfId="352" priority="524" operator="equal">
      <formula>2</formula>
    </cfRule>
    <cfRule type="cellIs" dxfId="351" priority="525" operator="equal">
      <formula>3</formula>
    </cfRule>
  </conditionalFormatting>
  <conditionalFormatting sqref="B9">
    <cfRule type="cellIs" dxfId="350" priority="520" operator="equal">
      <formula>1</formula>
    </cfRule>
    <cfRule type="cellIs" dxfId="349" priority="521" operator="equal">
      <formula>2</formula>
    </cfRule>
    <cfRule type="cellIs" dxfId="348" priority="522" operator="equal">
      <formula>3</formula>
    </cfRule>
  </conditionalFormatting>
  <conditionalFormatting sqref="D9">
    <cfRule type="cellIs" dxfId="347" priority="517" operator="equal">
      <formula>1</formula>
    </cfRule>
    <cfRule type="cellIs" dxfId="346" priority="518" operator="equal">
      <formula>2</formula>
    </cfRule>
    <cfRule type="cellIs" dxfId="345" priority="519" operator="equal">
      <formula>3</formula>
    </cfRule>
  </conditionalFormatting>
  <conditionalFormatting sqref="F9">
    <cfRule type="cellIs" dxfId="344" priority="514" operator="equal">
      <formula>1</formula>
    </cfRule>
    <cfRule type="cellIs" dxfId="343" priority="515" operator="equal">
      <formula>2</formula>
    </cfRule>
    <cfRule type="cellIs" dxfId="342" priority="516" operator="equal">
      <formula>3</formula>
    </cfRule>
  </conditionalFormatting>
  <conditionalFormatting sqref="H3">
    <cfRule type="cellIs" dxfId="341" priority="511" operator="equal">
      <formula>1</formula>
    </cfRule>
    <cfRule type="cellIs" dxfId="340" priority="512" operator="equal">
      <formula>2</formula>
    </cfRule>
    <cfRule type="cellIs" dxfId="339" priority="513" operator="equal">
      <formula>3</formula>
    </cfRule>
  </conditionalFormatting>
  <conditionalFormatting sqref="J3">
    <cfRule type="cellIs" dxfId="338" priority="508" operator="equal">
      <formula>1</formula>
    </cfRule>
    <cfRule type="cellIs" dxfId="337" priority="509" operator="equal">
      <formula>2</formula>
    </cfRule>
    <cfRule type="cellIs" dxfId="336" priority="510" operator="equal">
      <formula>3</formula>
    </cfRule>
  </conditionalFormatting>
  <conditionalFormatting sqref="L3">
    <cfRule type="cellIs" dxfId="335" priority="505" operator="equal">
      <formula>1</formula>
    </cfRule>
    <cfRule type="cellIs" dxfId="334" priority="506" operator="equal">
      <formula>2</formula>
    </cfRule>
    <cfRule type="cellIs" dxfId="333" priority="507" operator="equal">
      <formula>3</formula>
    </cfRule>
  </conditionalFormatting>
  <conditionalFormatting sqref="H9">
    <cfRule type="cellIs" dxfId="332" priority="502" operator="equal">
      <formula>1</formula>
    </cfRule>
    <cfRule type="cellIs" dxfId="331" priority="503" operator="equal">
      <formula>2</formula>
    </cfRule>
    <cfRule type="cellIs" dxfId="330" priority="504" operator="equal">
      <formula>3</formula>
    </cfRule>
  </conditionalFormatting>
  <conditionalFormatting sqref="J9">
    <cfRule type="cellIs" dxfId="329" priority="499" operator="equal">
      <formula>1</formula>
    </cfRule>
    <cfRule type="cellIs" dxfId="328" priority="500" operator="equal">
      <formula>2</formula>
    </cfRule>
    <cfRule type="cellIs" dxfId="327" priority="501" operator="equal">
      <formula>3</formula>
    </cfRule>
  </conditionalFormatting>
  <conditionalFormatting sqref="L9">
    <cfRule type="cellIs" dxfId="326" priority="496" operator="equal">
      <formula>1</formula>
    </cfRule>
    <cfRule type="cellIs" dxfId="325" priority="497" operator="equal">
      <formula>2</formula>
    </cfRule>
    <cfRule type="cellIs" dxfId="324" priority="498" operator="equal">
      <formula>3</formula>
    </cfRule>
  </conditionalFormatting>
  <conditionalFormatting sqref="N3">
    <cfRule type="cellIs" dxfId="323" priority="493" operator="equal">
      <formula>1</formula>
    </cfRule>
    <cfRule type="cellIs" dxfId="322" priority="494" operator="equal">
      <formula>2</formula>
    </cfRule>
    <cfRule type="cellIs" dxfId="321" priority="495" operator="equal">
      <formula>3</formula>
    </cfRule>
  </conditionalFormatting>
  <conditionalFormatting sqref="P3">
    <cfRule type="cellIs" dxfId="320" priority="490" operator="equal">
      <formula>1</formula>
    </cfRule>
    <cfRule type="cellIs" dxfId="319" priority="491" operator="equal">
      <formula>2</formula>
    </cfRule>
    <cfRule type="cellIs" dxfId="318" priority="492" operator="equal">
      <formula>3</formula>
    </cfRule>
  </conditionalFormatting>
  <conditionalFormatting sqref="R3">
    <cfRule type="cellIs" dxfId="317" priority="487" operator="equal">
      <formula>1</formula>
    </cfRule>
    <cfRule type="cellIs" dxfId="316" priority="488" operator="equal">
      <formula>2</formula>
    </cfRule>
    <cfRule type="cellIs" dxfId="315" priority="489" operator="equal">
      <formula>3</formula>
    </cfRule>
  </conditionalFormatting>
  <conditionalFormatting sqref="N9">
    <cfRule type="cellIs" dxfId="314" priority="484" operator="equal">
      <formula>1</formula>
    </cfRule>
    <cfRule type="cellIs" dxfId="313" priority="485" operator="equal">
      <formula>2</formula>
    </cfRule>
    <cfRule type="cellIs" dxfId="312" priority="486" operator="equal">
      <formula>3</formula>
    </cfRule>
  </conditionalFormatting>
  <conditionalFormatting sqref="P9">
    <cfRule type="cellIs" dxfId="311" priority="481" operator="equal">
      <formula>1</formula>
    </cfRule>
    <cfRule type="cellIs" dxfId="310" priority="482" operator="equal">
      <formula>2</formula>
    </cfRule>
    <cfRule type="cellIs" dxfId="309" priority="483" operator="equal">
      <formula>3</formula>
    </cfRule>
  </conditionalFormatting>
  <conditionalFormatting sqref="R9">
    <cfRule type="cellIs" dxfId="308" priority="478" operator="equal">
      <formula>1</formula>
    </cfRule>
    <cfRule type="cellIs" dxfId="307" priority="479" operator="equal">
      <formula>2</formula>
    </cfRule>
    <cfRule type="cellIs" dxfId="306" priority="480" operator="equal">
      <formula>3</formula>
    </cfRule>
  </conditionalFormatting>
  <conditionalFormatting sqref="AL3">
    <cfRule type="cellIs" dxfId="305" priority="421" operator="equal">
      <formula>1</formula>
    </cfRule>
    <cfRule type="cellIs" dxfId="304" priority="422" operator="equal">
      <formula>2</formula>
    </cfRule>
    <cfRule type="cellIs" dxfId="303" priority="423" operator="equal">
      <formula>3</formula>
    </cfRule>
  </conditionalFormatting>
  <conditionalFormatting sqref="AN3">
    <cfRule type="cellIs" dxfId="302" priority="418" operator="equal">
      <formula>1</formula>
    </cfRule>
    <cfRule type="cellIs" dxfId="301" priority="419" operator="equal">
      <formula>2</formula>
    </cfRule>
    <cfRule type="cellIs" dxfId="300" priority="420" operator="equal">
      <formula>3</formula>
    </cfRule>
  </conditionalFormatting>
  <conditionalFormatting sqref="AP3">
    <cfRule type="cellIs" dxfId="299" priority="415" operator="equal">
      <formula>1</formula>
    </cfRule>
    <cfRule type="cellIs" dxfId="298" priority="416" operator="equal">
      <formula>2</formula>
    </cfRule>
    <cfRule type="cellIs" dxfId="297" priority="417" operator="equal">
      <formula>3</formula>
    </cfRule>
  </conditionalFormatting>
  <conditionalFormatting sqref="B23">
    <cfRule type="cellIs" dxfId="296" priority="403" operator="equal">
      <formula>1</formula>
    </cfRule>
    <cfRule type="cellIs" dxfId="295" priority="404" operator="equal">
      <formula>2</formula>
    </cfRule>
    <cfRule type="cellIs" dxfId="294" priority="405" operator="equal">
      <formula>3</formula>
    </cfRule>
  </conditionalFormatting>
  <conditionalFormatting sqref="D23">
    <cfRule type="cellIs" dxfId="293" priority="400" operator="equal">
      <formula>1</formula>
    </cfRule>
    <cfRule type="cellIs" dxfId="292" priority="401" operator="equal">
      <formula>2</formula>
    </cfRule>
    <cfRule type="cellIs" dxfId="291" priority="402" operator="equal">
      <formula>3</formula>
    </cfRule>
  </conditionalFormatting>
  <conditionalFormatting sqref="F23">
    <cfRule type="cellIs" dxfId="290" priority="397" operator="equal">
      <formula>1</formula>
    </cfRule>
    <cfRule type="cellIs" dxfId="289" priority="398" operator="equal">
      <formula>2</formula>
    </cfRule>
    <cfRule type="cellIs" dxfId="288" priority="399" operator="equal">
      <formula>3</formula>
    </cfRule>
  </conditionalFormatting>
  <conditionalFormatting sqref="B29">
    <cfRule type="cellIs" dxfId="287" priority="394" operator="equal">
      <formula>1</formula>
    </cfRule>
    <cfRule type="cellIs" dxfId="286" priority="395" operator="equal">
      <formula>2</formula>
    </cfRule>
    <cfRule type="cellIs" dxfId="285" priority="396" operator="equal">
      <formula>3</formula>
    </cfRule>
  </conditionalFormatting>
  <conditionalFormatting sqref="D29">
    <cfRule type="cellIs" dxfId="284" priority="391" operator="equal">
      <formula>1</formula>
    </cfRule>
    <cfRule type="cellIs" dxfId="283" priority="392" operator="equal">
      <formula>2</formula>
    </cfRule>
    <cfRule type="cellIs" dxfId="282" priority="393" operator="equal">
      <formula>3</formula>
    </cfRule>
  </conditionalFormatting>
  <conditionalFormatting sqref="F29">
    <cfRule type="cellIs" dxfId="281" priority="388" operator="equal">
      <formula>1</formula>
    </cfRule>
    <cfRule type="cellIs" dxfId="280" priority="389" operator="equal">
      <formula>2</formula>
    </cfRule>
    <cfRule type="cellIs" dxfId="279" priority="390" operator="equal">
      <formula>3</formula>
    </cfRule>
  </conditionalFormatting>
  <conditionalFormatting sqref="H23">
    <cfRule type="cellIs" dxfId="278" priority="277" operator="equal">
      <formula>1</formula>
    </cfRule>
    <cfRule type="cellIs" dxfId="277" priority="278" operator="equal">
      <formula>2</formula>
    </cfRule>
    <cfRule type="cellIs" dxfId="276" priority="279" operator="equal">
      <formula>3</formula>
    </cfRule>
  </conditionalFormatting>
  <conditionalFormatting sqref="J23">
    <cfRule type="cellIs" dxfId="275" priority="274" operator="equal">
      <formula>1</formula>
    </cfRule>
    <cfRule type="cellIs" dxfId="274" priority="275" operator="equal">
      <formula>2</formula>
    </cfRule>
    <cfRule type="cellIs" dxfId="273" priority="276" operator="equal">
      <formula>3</formula>
    </cfRule>
  </conditionalFormatting>
  <conditionalFormatting sqref="L23">
    <cfRule type="cellIs" dxfId="272" priority="271" operator="equal">
      <formula>1</formula>
    </cfRule>
    <cfRule type="cellIs" dxfId="271" priority="272" operator="equal">
      <formula>2</formula>
    </cfRule>
    <cfRule type="cellIs" dxfId="270" priority="273" operator="equal">
      <formula>3</formula>
    </cfRule>
  </conditionalFormatting>
  <conditionalFormatting sqref="H29">
    <cfRule type="cellIs" dxfId="269" priority="268" operator="equal">
      <formula>1</formula>
    </cfRule>
    <cfRule type="cellIs" dxfId="268" priority="269" operator="equal">
      <formula>2</formula>
    </cfRule>
    <cfRule type="cellIs" dxfId="267" priority="270" operator="equal">
      <formula>3</formula>
    </cfRule>
  </conditionalFormatting>
  <conditionalFormatting sqref="J29">
    <cfRule type="cellIs" dxfId="266" priority="265" operator="equal">
      <formula>1</formula>
    </cfRule>
    <cfRule type="cellIs" dxfId="265" priority="266" operator="equal">
      <formula>2</formula>
    </cfRule>
    <cfRule type="cellIs" dxfId="264" priority="267" operator="equal">
      <formula>3</formula>
    </cfRule>
  </conditionalFormatting>
  <conditionalFormatting sqref="L29">
    <cfRule type="cellIs" dxfId="263" priority="262" operator="equal">
      <formula>1</formula>
    </cfRule>
    <cfRule type="cellIs" dxfId="262" priority="263" operator="equal">
      <formula>2</formula>
    </cfRule>
    <cfRule type="cellIs" dxfId="261" priority="264" operator="equal">
      <formula>3</formula>
    </cfRule>
  </conditionalFormatting>
  <conditionalFormatting sqref="H6">
    <cfRule type="cellIs" dxfId="260" priority="259" operator="equal">
      <formula>1</formula>
    </cfRule>
    <cfRule type="cellIs" dxfId="259" priority="260" operator="equal">
      <formula>2</formula>
    </cfRule>
    <cfRule type="cellIs" dxfId="258" priority="261" operator="equal">
      <formula>3</formula>
    </cfRule>
  </conditionalFormatting>
  <conditionalFormatting sqref="J6">
    <cfRule type="cellIs" dxfId="257" priority="256" operator="equal">
      <formula>1</formula>
    </cfRule>
    <cfRule type="cellIs" dxfId="256" priority="257" operator="equal">
      <formula>2</formula>
    </cfRule>
    <cfRule type="cellIs" dxfId="255" priority="258" operator="equal">
      <formula>3</formula>
    </cfRule>
  </conditionalFormatting>
  <conditionalFormatting sqref="L6">
    <cfRule type="cellIs" dxfId="254" priority="253" operator="equal">
      <formula>1</formula>
    </cfRule>
    <cfRule type="cellIs" dxfId="253" priority="254" operator="equal">
      <formula>2</formula>
    </cfRule>
    <cfRule type="cellIs" dxfId="252" priority="255" operator="equal">
      <formula>3</formula>
    </cfRule>
  </conditionalFormatting>
  <conditionalFormatting sqref="H26">
    <cfRule type="cellIs" dxfId="251" priority="250" operator="equal">
      <formula>1</formula>
    </cfRule>
    <cfRule type="cellIs" dxfId="250" priority="251" operator="equal">
      <formula>2</formula>
    </cfRule>
    <cfRule type="cellIs" dxfId="249" priority="252" operator="equal">
      <formula>3</formula>
    </cfRule>
  </conditionalFormatting>
  <conditionalFormatting sqref="J26">
    <cfRule type="cellIs" dxfId="248" priority="247" operator="equal">
      <formula>1</formula>
    </cfRule>
    <cfRule type="cellIs" dxfId="247" priority="248" operator="equal">
      <formula>2</formula>
    </cfRule>
    <cfRule type="cellIs" dxfId="246" priority="249" operator="equal">
      <formula>3</formula>
    </cfRule>
  </conditionalFormatting>
  <conditionalFormatting sqref="L26">
    <cfRule type="cellIs" dxfId="245" priority="244" operator="equal">
      <formula>1</formula>
    </cfRule>
    <cfRule type="cellIs" dxfId="244" priority="245" operator="equal">
      <formula>2</formula>
    </cfRule>
    <cfRule type="cellIs" dxfId="243" priority="246" operator="equal">
      <formula>3</formula>
    </cfRule>
  </conditionalFormatting>
  <conditionalFormatting sqref="N6">
    <cfRule type="cellIs" dxfId="242" priority="241" operator="equal">
      <formula>1</formula>
    </cfRule>
    <cfRule type="cellIs" dxfId="241" priority="242" operator="equal">
      <formula>2</formula>
    </cfRule>
    <cfRule type="cellIs" dxfId="240" priority="243" operator="equal">
      <formula>3</formula>
    </cfRule>
  </conditionalFormatting>
  <conditionalFormatting sqref="P6">
    <cfRule type="cellIs" dxfId="239" priority="238" operator="equal">
      <formula>1</formula>
    </cfRule>
    <cfRule type="cellIs" dxfId="238" priority="239" operator="equal">
      <formula>2</formula>
    </cfRule>
    <cfRule type="cellIs" dxfId="237" priority="240" operator="equal">
      <formula>3</formula>
    </cfRule>
  </conditionalFormatting>
  <conditionalFormatting sqref="R6">
    <cfRule type="cellIs" dxfId="236" priority="235" operator="equal">
      <formula>1</formula>
    </cfRule>
    <cfRule type="cellIs" dxfId="235" priority="236" operator="equal">
      <formula>2</formula>
    </cfRule>
    <cfRule type="cellIs" dxfId="234" priority="237" operator="equal">
      <formula>3</formula>
    </cfRule>
  </conditionalFormatting>
  <conditionalFormatting sqref="N23">
    <cfRule type="cellIs" dxfId="233" priority="232" operator="equal">
      <formula>1</formula>
    </cfRule>
    <cfRule type="cellIs" dxfId="232" priority="233" operator="equal">
      <formula>2</formula>
    </cfRule>
    <cfRule type="cellIs" dxfId="231" priority="234" operator="equal">
      <formula>3</formula>
    </cfRule>
  </conditionalFormatting>
  <conditionalFormatting sqref="P23">
    <cfRule type="cellIs" dxfId="230" priority="229" operator="equal">
      <formula>1</formula>
    </cfRule>
    <cfRule type="cellIs" dxfId="229" priority="230" operator="equal">
      <formula>2</formula>
    </cfRule>
    <cfRule type="cellIs" dxfId="228" priority="231" operator="equal">
      <formula>3</formula>
    </cfRule>
  </conditionalFormatting>
  <conditionalFormatting sqref="R23">
    <cfRule type="cellIs" dxfId="227" priority="226" operator="equal">
      <formula>1</formula>
    </cfRule>
    <cfRule type="cellIs" dxfId="226" priority="227" operator="equal">
      <formula>2</formula>
    </cfRule>
    <cfRule type="cellIs" dxfId="225" priority="228" operator="equal">
      <formula>3</formula>
    </cfRule>
  </conditionalFormatting>
  <conditionalFormatting sqref="N29">
    <cfRule type="cellIs" dxfId="224" priority="223" operator="equal">
      <formula>1</formula>
    </cfRule>
    <cfRule type="cellIs" dxfId="223" priority="224" operator="equal">
      <formula>2</formula>
    </cfRule>
    <cfRule type="cellIs" dxfId="222" priority="225" operator="equal">
      <formula>3</formula>
    </cfRule>
  </conditionalFormatting>
  <conditionalFormatting sqref="P29">
    <cfRule type="cellIs" dxfId="221" priority="220" operator="equal">
      <formula>1</formula>
    </cfRule>
    <cfRule type="cellIs" dxfId="220" priority="221" operator="equal">
      <formula>2</formula>
    </cfRule>
    <cfRule type="cellIs" dxfId="219" priority="222" operator="equal">
      <formula>3</formula>
    </cfRule>
  </conditionalFormatting>
  <conditionalFormatting sqref="R29">
    <cfRule type="cellIs" dxfId="218" priority="217" operator="equal">
      <formula>1</formula>
    </cfRule>
    <cfRule type="cellIs" dxfId="217" priority="218" operator="equal">
      <formula>2</formula>
    </cfRule>
    <cfRule type="cellIs" dxfId="216" priority="219" operator="equal">
      <formula>3</formula>
    </cfRule>
  </conditionalFormatting>
  <conditionalFormatting sqref="N26">
    <cfRule type="cellIs" dxfId="215" priority="214" operator="equal">
      <formula>1</formula>
    </cfRule>
    <cfRule type="cellIs" dxfId="214" priority="215" operator="equal">
      <formula>2</formula>
    </cfRule>
    <cfRule type="cellIs" dxfId="213" priority="216" operator="equal">
      <formula>3</formula>
    </cfRule>
  </conditionalFormatting>
  <conditionalFormatting sqref="P26">
    <cfRule type="cellIs" dxfId="212" priority="211" operator="equal">
      <formula>1</formula>
    </cfRule>
    <cfRule type="cellIs" dxfId="211" priority="212" operator="equal">
      <formula>2</formula>
    </cfRule>
    <cfRule type="cellIs" dxfId="210" priority="213" operator="equal">
      <formula>3</formula>
    </cfRule>
  </conditionalFormatting>
  <conditionalFormatting sqref="R26">
    <cfRule type="cellIs" dxfId="209" priority="208" operator="equal">
      <formula>1</formula>
    </cfRule>
    <cfRule type="cellIs" dxfId="208" priority="209" operator="equal">
      <formula>2</formula>
    </cfRule>
    <cfRule type="cellIs" dxfId="207" priority="210" operator="equal">
      <formula>3</formula>
    </cfRule>
  </conditionalFormatting>
  <conditionalFormatting sqref="T3">
    <cfRule type="cellIs" dxfId="206" priority="205" operator="equal">
      <formula>1</formula>
    </cfRule>
    <cfRule type="cellIs" dxfId="205" priority="206" operator="equal">
      <formula>2</formula>
    </cfRule>
    <cfRule type="cellIs" dxfId="204" priority="207" operator="equal">
      <formula>3</formula>
    </cfRule>
  </conditionalFormatting>
  <conditionalFormatting sqref="V3">
    <cfRule type="cellIs" dxfId="203" priority="202" operator="equal">
      <formula>1</formula>
    </cfRule>
    <cfRule type="cellIs" dxfId="202" priority="203" operator="equal">
      <formula>2</formula>
    </cfRule>
    <cfRule type="cellIs" dxfId="201" priority="204" operator="equal">
      <formula>3</formula>
    </cfRule>
  </conditionalFormatting>
  <conditionalFormatting sqref="X3">
    <cfRule type="cellIs" dxfId="200" priority="199" operator="equal">
      <formula>1</formula>
    </cfRule>
    <cfRule type="cellIs" dxfId="199" priority="200" operator="equal">
      <formula>2</formula>
    </cfRule>
    <cfRule type="cellIs" dxfId="198" priority="201" operator="equal">
      <formula>3</formula>
    </cfRule>
  </conditionalFormatting>
  <conditionalFormatting sqref="T9">
    <cfRule type="cellIs" dxfId="197" priority="196" operator="equal">
      <formula>1</formula>
    </cfRule>
    <cfRule type="cellIs" dxfId="196" priority="197" operator="equal">
      <formula>2</formula>
    </cfRule>
    <cfRule type="cellIs" dxfId="195" priority="198" operator="equal">
      <formula>3</formula>
    </cfRule>
  </conditionalFormatting>
  <conditionalFormatting sqref="V9">
    <cfRule type="cellIs" dxfId="194" priority="193" operator="equal">
      <formula>1</formula>
    </cfRule>
    <cfRule type="cellIs" dxfId="193" priority="194" operator="equal">
      <formula>2</formula>
    </cfRule>
    <cfRule type="cellIs" dxfId="192" priority="195" operator="equal">
      <formula>3</formula>
    </cfRule>
  </conditionalFormatting>
  <conditionalFormatting sqref="X9">
    <cfRule type="cellIs" dxfId="191" priority="190" operator="equal">
      <formula>1</formula>
    </cfRule>
    <cfRule type="cellIs" dxfId="190" priority="191" operator="equal">
      <formula>2</formula>
    </cfRule>
    <cfRule type="cellIs" dxfId="189" priority="192" operator="equal">
      <formula>3</formula>
    </cfRule>
  </conditionalFormatting>
  <conditionalFormatting sqref="T6">
    <cfRule type="cellIs" dxfId="188" priority="187" operator="equal">
      <formula>1</formula>
    </cfRule>
    <cfRule type="cellIs" dxfId="187" priority="188" operator="equal">
      <formula>2</formula>
    </cfRule>
    <cfRule type="cellIs" dxfId="186" priority="189" operator="equal">
      <formula>3</formula>
    </cfRule>
  </conditionalFormatting>
  <conditionalFormatting sqref="V6">
    <cfRule type="cellIs" dxfId="185" priority="184" operator="equal">
      <formula>1</formula>
    </cfRule>
    <cfRule type="cellIs" dxfId="184" priority="185" operator="equal">
      <formula>2</formula>
    </cfRule>
    <cfRule type="cellIs" dxfId="183" priority="186" operator="equal">
      <formula>3</formula>
    </cfRule>
  </conditionalFormatting>
  <conditionalFormatting sqref="X6">
    <cfRule type="cellIs" dxfId="182" priority="181" operator="equal">
      <formula>1</formula>
    </cfRule>
    <cfRule type="cellIs" dxfId="181" priority="182" operator="equal">
      <formula>2</formula>
    </cfRule>
    <cfRule type="cellIs" dxfId="180" priority="183" operator="equal">
      <formula>3</formula>
    </cfRule>
  </conditionalFormatting>
  <conditionalFormatting sqref="T23">
    <cfRule type="cellIs" dxfId="179" priority="178" operator="equal">
      <formula>1</formula>
    </cfRule>
    <cfRule type="cellIs" dxfId="178" priority="179" operator="equal">
      <formula>2</formula>
    </cfRule>
    <cfRule type="cellIs" dxfId="177" priority="180" operator="equal">
      <formula>3</formula>
    </cfRule>
  </conditionalFormatting>
  <conditionalFormatting sqref="V23">
    <cfRule type="cellIs" dxfId="176" priority="175" operator="equal">
      <formula>1</formula>
    </cfRule>
    <cfRule type="cellIs" dxfId="175" priority="176" operator="equal">
      <formula>2</formula>
    </cfRule>
    <cfRule type="cellIs" dxfId="174" priority="177" operator="equal">
      <formula>3</formula>
    </cfRule>
  </conditionalFormatting>
  <conditionalFormatting sqref="X23">
    <cfRule type="cellIs" dxfId="173" priority="172" operator="equal">
      <formula>1</formula>
    </cfRule>
    <cfRule type="cellIs" dxfId="172" priority="173" operator="equal">
      <formula>2</formula>
    </cfRule>
    <cfRule type="cellIs" dxfId="171" priority="174" operator="equal">
      <formula>3</formula>
    </cfRule>
  </conditionalFormatting>
  <conditionalFormatting sqref="T29">
    <cfRule type="cellIs" dxfId="170" priority="169" operator="equal">
      <formula>1</formula>
    </cfRule>
    <cfRule type="cellIs" dxfId="169" priority="170" operator="equal">
      <formula>2</formula>
    </cfRule>
    <cfRule type="cellIs" dxfId="168" priority="171" operator="equal">
      <formula>3</formula>
    </cfRule>
  </conditionalFormatting>
  <conditionalFormatting sqref="V29">
    <cfRule type="cellIs" dxfId="167" priority="166" operator="equal">
      <formula>1</formula>
    </cfRule>
    <cfRule type="cellIs" dxfId="166" priority="167" operator="equal">
      <formula>2</formula>
    </cfRule>
    <cfRule type="cellIs" dxfId="165" priority="168" operator="equal">
      <formula>3</formula>
    </cfRule>
  </conditionalFormatting>
  <conditionalFormatting sqref="X29">
    <cfRule type="cellIs" dxfId="164" priority="163" operator="equal">
      <formula>1</formula>
    </cfRule>
    <cfRule type="cellIs" dxfId="163" priority="164" operator="equal">
      <formula>2</formula>
    </cfRule>
    <cfRule type="cellIs" dxfId="162" priority="165" operator="equal">
      <formula>3</formula>
    </cfRule>
  </conditionalFormatting>
  <conditionalFormatting sqref="T26">
    <cfRule type="cellIs" dxfId="161" priority="160" operator="equal">
      <formula>1</formula>
    </cfRule>
    <cfRule type="cellIs" dxfId="160" priority="161" operator="equal">
      <formula>2</formula>
    </cfRule>
    <cfRule type="cellIs" dxfId="159" priority="162" operator="equal">
      <formula>3</formula>
    </cfRule>
  </conditionalFormatting>
  <conditionalFormatting sqref="V26">
    <cfRule type="cellIs" dxfId="158" priority="157" operator="equal">
      <formula>1</formula>
    </cfRule>
    <cfRule type="cellIs" dxfId="157" priority="158" operator="equal">
      <formula>2</formula>
    </cfRule>
    <cfRule type="cellIs" dxfId="156" priority="159" operator="equal">
      <formula>3</formula>
    </cfRule>
  </conditionalFormatting>
  <conditionalFormatting sqref="X26">
    <cfRule type="cellIs" dxfId="155" priority="154" operator="equal">
      <formula>1</formula>
    </cfRule>
    <cfRule type="cellIs" dxfId="154" priority="155" operator="equal">
      <formula>2</formula>
    </cfRule>
    <cfRule type="cellIs" dxfId="153" priority="156" operator="equal">
      <formula>3</formula>
    </cfRule>
  </conditionalFormatting>
  <conditionalFormatting sqref="Z3">
    <cfRule type="cellIs" dxfId="152" priority="151" operator="equal">
      <formula>1</formula>
    </cfRule>
    <cfRule type="cellIs" dxfId="151" priority="152" operator="equal">
      <formula>2</formula>
    </cfRule>
    <cfRule type="cellIs" dxfId="150" priority="153" operator="equal">
      <formula>3</formula>
    </cfRule>
  </conditionalFormatting>
  <conditionalFormatting sqref="AB3">
    <cfRule type="cellIs" dxfId="149" priority="148" operator="equal">
      <formula>1</formula>
    </cfRule>
    <cfRule type="cellIs" dxfId="148" priority="149" operator="equal">
      <formula>2</formula>
    </cfRule>
    <cfRule type="cellIs" dxfId="147" priority="150" operator="equal">
      <formula>3</formula>
    </cfRule>
  </conditionalFormatting>
  <conditionalFormatting sqref="AD3">
    <cfRule type="cellIs" dxfId="146" priority="145" operator="equal">
      <formula>1</formula>
    </cfRule>
    <cfRule type="cellIs" dxfId="145" priority="146" operator="equal">
      <formula>2</formula>
    </cfRule>
    <cfRule type="cellIs" dxfId="144" priority="147" operator="equal">
      <formula>3</formula>
    </cfRule>
  </conditionalFormatting>
  <conditionalFormatting sqref="Z9">
    <cfRule type="cellIs" dxfId="143" priority="142" operator="equal">
      <formula>1</formula>
    </cfRule>
    <cfRule type="cellIs" dxfId="142" priority="143" operator="equal">
      <formula>2</formula>
    </cfRule>
    <cfRule type="cellIs" dxfId="141" priority="144" operator="equal">
      <formula>3</formula>
    </cfRule>
  </conditionalFormatting>
  <conditionalFormatting sqref="AB9">
    <cfRule type="cellIs" dxfId="140" priority="139" operator="equal">
      <formula>1</formula>
    </cfRule>
    <cfRule type="cellIs" dxfId="139" priority="140" operator="equal">
      <formula>2</formula>
    </cfRule>
    <cfRule type="cellIs" dxfId="138" priority="141" operator="equal">
      <formula>3</formula>
    </cfRule>
  </conditionalFormatting>
  <conditionalFormatting sqref="AD9">
    <cfRule type="cellIs" dxfId="137" priority="136" operator="equal">
      <formula>1</formula>
    </cfRule>
    <cfRule type="cellIs" dxfId="136" priority="137" operator="equal">
      <formula>2</formula>
    </cfRule>
    <cfRule type="cellIs" dxfId="135" priority="138" operator="equal">
      <formula>3</formula>
    </cfRule>
  </conditionalFormatting>
  <conditionalFormatting sqref="Z6">
    <cfRule type="cellIs" dxfId="134" priority="133" operator="equal">
      <formula>1</formula>
    </cfRule>
    <cfRule type="cellIs" dxfId="133" priority="134" operator="equal">
      <formula>2</formula>
    </cfRule>
    <cfRule type="cellIs" dxfId="132" priority="135" operator="equal">
      <formula>3</formula>
    </cfRule>
  </conditionalFormatting>
  <conditionalFormatting sqref="AB6">
    <cfRule type="cellIs" dxfId="131" priority="130" operator="equal">
      <formula>1</formula>
    </cfRule>
    <cfRule type="cellIs" dxfId="130" priority="131" operator="equal">
      <formula>2</formula>
    </cfRule>
    <cfRule type="cellIs" dxfId="129" priority="132" operator="equal">
      <formula>3</formula>
    </cfRule>
  </conditionalFormatting>
  <conditionalFormatting sqref="AD6">
    <cfRule type="cellIs" dxfId="128" priority="127" operator="equal">
      <formula>1</formula>
    </cfRule>
    <cfRule type="cellIs" dxfId="127" priority="128" operator="equal">
      <formula>2</formula>
    </cfRule>
    <cfRule type="cellIs" dxfId="126" priority="129" operator="equal">
      <formula>3</formula>
    </cfRule>
  </conditionalFormatting>
  <conditionalFormatting sqref="Z23">
    <cfRule type="cellIs" dxfId="125" priority="124" operator="equal">
      <formula>1</formula>
    </cfRule>
    <cfRule type="cellIs" dxfId="124" priority="125" operator="equal">
      <formula>2</formula>
    </cfRule>
    <cfRule type="cellIs" dxfId="123" priority="126" operator="equal">
      <formula>3</formula>
    </cfRule>
  </conditionalFormatting>
  <conditionalFormatting sqref="AB23">
    <cfRule type="cellIs" dxfId="122" priority="121" operator="equal">
      <formula>1</formula>
    </cfRule>
    <cfRule type="cellIs" dxfId="121" priority="122" operator="equal">
      <formula>2</formula>
    </cfRule>
    <cfRule type="cellIs" dxfId="120" priority="123" operator="equal">
      <formula>3</formula>
    </cfRule>
  </conditionalFormatting>
  <conditionalFormatting sqref="AD23">
    <cfRule type="cellIs" dxfId="119" priority="118" operator="equal">
      <formula>1</formula>
    </cfRule>
    <cfRule type="cellIs" dxfId="118" priority="119" operator="equal">
      <formula>2</formula>
    </cfRule>
    <cfRule type="cellIs" dxfId="117" priority="120" operator="equal">
      <formula>3</formula>
    </cfRule>
  </conditionalFormatting>
  <conditionalFormatting sqref="Z29">
    <cfRule type="cellIs" dxfId="116" priority="115" operator="equal">
      <formula>1</formula>
    </cfRule>
    <cfRule type="cellIs" dxfId="115" priority="116" operator="equal">
      <formula>2</formula>
    </cfRule>
    <cfRule type="cellIs" dxfId="114" priority="117" operator="equal">
      <formula>3</formula>
    </cfRule>
  </conditionalFormatting>
  <conditionalFormatting sqref="AB29">
    <cfRule type="cellIs" dxfId="113" priority="112" operator="equal">
      <formula>1</formula>
    </cfRule>
    <cfRule type="cellIs" dxfId="112" priority="113" operator="equal">
      <formula>2</formula>
    </cfRule>
    <cfRule type="cellIs" dxfId="111" priority="114" operator="equal">
      <formula>3</formula>
    </cfRule>
  </conditionalFormatting>
  <conditionalFormatting sqref="AD29">
    <cfRule type="cellIs" dxfId="110" priority="109" operator="equal">
      <formula>1</formula>
    </cfRule>
    <cfRule type="cellIs" dxfId="109" priority="110" operator="equal">
      <formula>2</formula>
    </cfRule>
    <cfRule type="cellIs" dxfId="108" priority="111" operator="equal">
      <formula>3</formula>
    </cfRule>
  </conditionalFormatting>
  <conditionalFormatting sqref="Z26">
    <cfRule type="cellIs" dxfId="107" priority="106" operator="equal">
      <formula>1</formula>
    </cfRule>
    <cfRule type="cellIs" dxfId="106" priority="107" operator="equal">
      <formula>2</formula>
    </cfRule>
    <cfRule type="cellIs" dxfId="105" priority="108" operator="equal">
      <formula>3</formula>
    </cfRule>
  </conditionalFormatting>
  <conditionalFormatting sqref="AB26">
    <cfRule type="cellIs" dxfId="104" priority="103" operator="equal">
      <formula>1</formula>
    </cfRule>
    <cfRule type="cellIs" dxfId="103" priority="104" operator="equal">
      <formula>2</formula>
    </cfRule>
    <cfRule type="cellIs" dxfId="102" priority="105" operator="equal">
      <formula>3</formula>
    </cfRule>
  </conditionalFormatting>
  <conditionalFormatting sqref="AD26">
    <cfRule type="cellIs" dxfId="101" priority="100" operator="equal">
      <formula>1</formula>
    </cfRule>
    <cfRule type="cellIs" dxfId="100" priority="101" operator="equal">
      <formula>2</formula>
    </cfRule>
    <cfRule type="cellIs" dxfId="99" priority="102" operator="equal">
      <formula>3</formula>
    </cfRule>
  </conditionalFormatting>
  <conditionalFormatting sqref="AF3">
    <cfRule type="cellIs" dxfId="98" priority="97" operator="equal">
      <formula>1</formula>
    </cfRule>
    <cfRule type="cellIs" dxfId="97" priority="98" operator="equal">
      <formula>2</formula>
    </cfRule>
    <cfRule type="cellIs" dxfId="96" priority="99" operator="equal">
      <formula>3</formula>
    </cfRule>
  </conditionalFormatting>
  <conditionalFormatting sqref="AH3">
    <cfRule type="cellIs" dxfId="95" priority="94" operator="equal">
      <formula>1</formula>
    </cfRule>
    <cfRule type="cellIs" dxfId="94" priority="95" operator="equal">
      <formula>2</formula>
    </cfRule>
    <cfRule type="cellIs" dxfId="93" priority="96" operator="equal">
      <formula>3</formula>
    </cfRule>
  </conditionalFormatting>
  <conditionalFormatting sqref="AJ3">
    <cfRule type="cellIs" dxfId="92" priority="91" operator="equal">
      <formula>1</formula>
    </cfRule>
    <cfRule type="cellIs" dxfId="91" priority="92" operator="equal">
      <formula>2</formula>
    </cfRule>
    <cfRule type="cellIs" dxfId="90" priority="93" operator="equal">
      <formula>3</formula>
    </cfRule>
  </conditionalFormatting>
  <conditionalFormatting sqref="AF9">
    <cfRule type="cellIs" dxfId="89" priority="88" operator="equal">
      <formula>1</formula>
    </cfRule>
    <cfRule type="cellIs" dxfId="88" priority="89" operator="equal">
      <formula>2</formula>
    </cfRule>
    <cfRule type="cellIs" dxfId="87" priority="90" operator="equal">
      <formula>3</formula>
    </cfRule>
  </conditionalFormatting>
  <conditionalFormatting sqref="AH9">
    <cfRule type="cellIs" dxfId="86" priority="85" operator="equal">
      <formula>1</formula>
    </cfRule>
    <cfRule type="cellIs" dxfId="85" priority="86" operator="equal">
      <formula>2</formula>
    </cfRule>
    <cfRule type="cellIs" dxfId="84" priority="87" operator="equal">
      <formula>3</formula>
    </cfRule>
  </conditionalFormatting>
  <conditionalFormatting sqref="AJ9">
    <cfRule type="cellIs" dxfId="83" priority="82" operator="equal">
      <formula>1</formula>
    </cfRule>
    <cfRule type="cellIs" dxfId="82" priority="83" operator="equal">
      <formula>2</formula>
    </cfRule>
    <cfRule type="cellIs" dxfId="81" priority="84" operator="equal">
      <formula>3</formula>
    </cfRule>
  </conditionalFormatting>
  <conditionalFormatting sqref="AF6">
    <cfRule type="cellIs" dxfId="80" priority="79" operator="equal">
      <formula>1</formula>
    </cfRule>
    <cfRule type="cellIs" dxfId="79" priority="80" operator="equal">
      <formula>2</formula>
    </cfRule>
    <cfRule type="cellIs" dxfId="78" priority="81" operator="equal">
      <formula>3</formula>
    </cfRule>
  </conditionalFormatting>
  <conditionalFormatting sqref="AH6">
    <cfRule type="cellIs" dxfId="77" priority="76" operator="equal">
      <formula>1</formula>
    </cfRule>
    <cfRule type="cellIs" dxfId="76" priority="77" operator="equal">
      <formula>2</formula>
    </cfRule>
    <cfRule type="cellIs" dxfId="75" priority="78" operator="equal">
      <formula>3</formula>
    </cfRule>
  </conditionalFormatting>
  <conditionalFormatting sqref="AJ6">
    <cfRule type="cellIs" dxfId="74" priority="73" operator="equal">
      <formula>1</formula>
    </cfRule>
    <cfRule type="cellIs" dxfId="73" priority="74" operator="equal">
      <formula>2</formula>
    </cfRule>
    <cfRule type="cellIs" dxfId="72" priority="75" operator="equal">
      <formula>3</formula>
    </cfRule>
  </conditionalFormatting>
  <conditionalFormatting sqref="AF23">
    <cfRule type="cellIs" dxfId="71" priority="70" operator="equal">
      <formula>1</formula>
    </cfRule>
    <cfRule type="cellIs" dxfId="70" priority="71" operator="equal">
      <formula>2</formula>
    </cfRule>
    <cfRule type="cellIs" dxfId="69" priority="72" operator="equal">
      <formula>3</formula>
    </cfRule>
  </conditionalFormatting>
  <conditionalFormatting sqref="AH23">
    <cfRule type="cellIs" dxfId="68" priority="67" operator="equal">
      <formula>1</formula>
    </cfRule>
    <cfRule type="cellIs" dxfId="67" priority="68" operator="equal">
      <formula>2</formula>
    </cfRule>
    <cfRule type="cellIs" dxfId="66" priority="69" operator="equal">
      <formula>3</formula>
    </cfRule>
  </conditionalFormatting>
  <conditionalFormatting sqref="AJ23">
    <cfRule type="cellIs" dxfId="65" priority="64" operator="equal">
      <formula>1</formula>
    </cfRule>
    <cfRule type="cellIs" dxfId="64" priority="65" operator="equal">
      <formula>2</formula>
    </cfRule>
    <cfRule type="cellIs" dxfId="63" priority="66" operator="equal">
      <formula>3</formula>
    </cfRule>
  </conditionalFormatting>
  <conditionalFormatting sqref="AF29">
    <cfRule type="cellIs" dxfId="62" priority="61" operator="equal">
      <formula>1</formula>
    </cfRule>
    <cfRule type="cellIs" dxfId="61" priority="62" operator="equal">
      <formula>2</formula>
    </cfRule>
    <cfRule type="cellIs" dxfId="60" priority="63" operator="equal">
      <formula>3</formula>
    </cfRule>
  </conditionalFormatting>
  <conditionalFormatting sqref="AH29">
    <cfRule type="cellIs" dxfId="59" priority="58" operator="equal">
      <formula>1</formula>
    </cfRule>
    <cfRule type="cellIs" dxfId="58" priority="59" operator="equal">
      <formula>2</formula>
    </cfRule>
    <cfRule type="cellIs" dxfId="57" priority="60" operator="equal">
      <formula>3</formula>
    </cfRule>
  </conditionalFormatting>
  <conditionalFormatting sqref="AJ29">
    <cfRule type="cellIs" dxfId="56" priority="55" operator="equal">
      <formula>1</formula>
    </cfRule>
    <cfRule type="cellIs" dxfId="55" priority="56" operator="equal">
      <formula>2</formula>
    </cfRule>
    <cfRule type="cellIs" dxfId="54" priority="57" operator="equal">
      <formula>3</formula>
    </cfRule>
  </conditionalFormatting>
  <conditionalFormatting sqref="AF26">
    <cfRule type="cellIs" dxfId="53" priority="52" operator="equal">
      <formula>1</formula>
    </cfRule>
    <cfRule type="cellIs" dxfId="52" priority="53" operator="equal">
      <formula>2</formula>
    </cfRule>
    <cfRule type="cellIs" dxfId="51" priority="54" operator="equal">
      <formula>3</formula>
    </cfRule>
  </conditionalFormatting>
  <conditionalFormatting sqref="AH26">
    <cfRule type="cellIs" dxfId="50" priority="49" operator="equal">
      <formula>1</formula>
    </cfRule>
    <cfRule type="cellIs" dxfId="49" priority="50" operator="equal">
      <formula>2</formula>
    </cfRule>
    <cfRule type="cellIs" dxfId="48" priority="51" operator="equal">
      <formula>3</formula>
    </cfRule>
  </conditionalFormatting>
  <conditionalFormatting sqref="AJ26">
    <cfRule type="cellIs" dxfId="47" priority="46" operator="equal">
      <formula>1</formula>
    </cfRule>
    <cfRule type="cellIs" dxfId="46" priority="47" operator="equal">
      <formula>2</formula>
    </cfRule>
    <cfRule type="cellIs" dxfId="45" priority="48" operator="equal">
      <formula>3</formula>
    </cfRule>
  </conditionalFormatting>
  <conditionalFormatting sqref="AL9">
    <cfRule type="cellIs" dxfId="44" priority="43" operator="equal">
      <formula>1</formula>
    </cfRule>
    <cfRule type="cellIs" dxfId="43" priority="44" operator="equal">
      <formula>2</formula>
    </cfRule>
    <cfRule type="cellIs" dxfId="42" priority="45" operator="equal">
      <formula>3</formula>
    </cfRule>
  </conditionalFormatting>
  <conditionalFormatting sqref="AN9">
    <cfRule type="cellIs" dxfId="41" priority="40" operator="equal">
      <formula>1</formula>
    </cfRule>
    <cfRule type="cellIs" dxfId="40" priority="41" operator="equal">
      <formula>2</formula>
    </cfRule>
    <cfRule type="cellIs" dxfId="39" priority="42" operator="equal">
      <formula>3</formula>
    </cfRule>
  </conditionalFormatting>
  <conditionalFormatting sqref="AP9">
    <cfRule type="cellIs" dxfId="38" priority="37" operator="equal">
      <formula>1</formula>
    </cfRule>
    <cfRule type="cellIs" dxfId="37" priority="38" operator="equal">
      <formula>2</formula>
    </cfRule>
    <cfRule type="cellIs" dxfId="36" priority="39" operator="equal">
      <formula>3</formula>
    </cfRule>
  </conditionalFormatting>
  <conditionalFormatting sqref="AL6">
    <cfRule type="cellIs" dxfId="35" priority="34" operator="equal">
      <formula>1</formula>
    </cfRule>
    <cfRule type="cellIs" dxfId="34" priority="35" operator="equal">
      <formula>2</formula>
    </cfRule>
    <cfRule type="cellIs" dxfId="33" priority="36" operator="equal">
      <formula>3</formula>
    </cfRule>
  </conditionalFormatting>
  <conditionalFormatting sqref="AN6">
    <cfRule type="cellIs" dxfId="32" priority="31" operator="equal">
      <formula>1</formula>
    </cfRule>
    <cfRule type="cellIs" dxfId="31" priority="32" operator="equal">
      <formula>2</formula>
    </cfRule>
    <cfRule type="cellIs" dxfId="30" priority="33" operator="equal">
      <formula>3</formula>
    </cfRule>
  </conditionalFormatting>
  <conditionalFormatting sqref="AP6">
    <cfRule type="cellIs" dxfId="29" priority="28" operator="equal">
      <formula>1</formula>
    </cfRule>
    <cfRule type="cellIs" dxfId="28" priority="29" operator="equal">
      <formula>2</formula>
    </cfRule>
    <cfRule type="cellIs" dxfId="27" priority="30" operator="equal">
      <formula>3</formula>
    </cfRule>
  </conditionalFormatting>
  <conditionalFormatting sqref="AL23">
    <cfRule type="cellIs" dxfId="26" priority="25" operator="equal">
      <formula>1</formula>
    </cfRule>
    <cfRule type="cellIs" dxfId="25" priority="26" operator="equal">
      <formula>2</formula>
    </cfRule>
    <cfRule type="cellIs" dxfId="24" priority="27" operator="equal">
      <formula>3</formula>
    </cfRule>
  </conditionalFormatting>
  <conditionalFormatting sqref="AN23">
    <cfRule type="cellIs" dxfId="23" priority="22" operator="equal">
      <formula>1</formula>
    </cfRule>
    <cfRule type="cellIs" dxfId="22" priority="23" operator="equal">
      <formula>2</formula>
    </cfRule>
    <cfRule type="cellIs" dxfId="21" priority="24" operator="equal">
      <formula>3</formula>
    </cfRule>
  </conditionalFormatting>
  <conditionalFormatting sqref="AP23">
    <cfRule type="cellIs" dxfId="20" priority="19" operator="equal">
      <formula>1</formula>
    </cfRule>
    <cfRule type="cellIs" dxfId="19" priority="20" operator="equal">
      <formula>2</formula>
    </cfRule>
    <cfRule type="cellIs" dxfId="18" priority="21" operator="equal">
      <formula>3</formula>
    </cfRule>
  </conditionalFormatting>
  <conditionalFormatting sqref="AL29">
    <cfRule type="cellIs" dxfId="17" priority="16" operator="equal">
      <formula>1</formula>
    </cfRule>
    <cfRule type="cellIs" dxfId="16" priority="17" operator="equal">
      <formula>2</formula>
    </cfRule>
    <cfRule type="cellIs" dxfId="15" priority="18" operator="equal">
      <formula>3</formula>
    </cfRule>
  </conditionalFormatting>
  <conditionalFormatting sqref="AN29">
    <cfRule type="cellIs" dxfId="14" priority="13" operator="equal">
      <formula>1</formula>
    </cfRule>
    <cfRule type="cellIs" dxfId="13" priority="14" operator="equal">
      <formula>2</formula>
    </cfRule>
    <cfRule type="cellIs" dxfId="12" priority="15" operator="equal">
      <formula>3</formula>
    </cfRule>
  </conditionalFormatting>
  <conditionalFormatting sqref="AP29">
    <cfRule type="cellIs" dxfId="11" priority="10" operator="equal">
      <formula>1</formula>
    </cfRule>
    <cfRule type="cellIs" dxfId="10" priority="11" operator="equal">
      <formula>2</formula>
    </cfRule>
    <cfRule type="cellIs" dxfId="9" priority="12" operator="equal">
      <formula>3</formula>
    </cfRule>
  </conditionalFormatting>
  <conditionalFormatting sqref="AL26">
    <cfRule type="cellIs" dxfId="8" priority="7" operator="equal">
      <formula>1</formula>
    </cfRule>
    <cfRule type="cellIs" dxfId="7" priority="8" operator="equal">
      <formula>2</formula>
    </cfRule>
    <cfRule type="cellIs" dxfId="6" priority="9" operator="equal">
      <formula>3</formula>
    </cfRule>
  </conditionalFormatting>
  <conditionalFormatting sqref="AN26">
    <cfRule type="cellIs" dxfId="5" priority="4" operator="equal">
      <formula>1</formula>
    </cfRule>
    <cfRule type="cellIs" dxfId="4" priority="5" operator="equal">
      <formula>2</formula>
    </cfRule>
    <cfRule type="cellIs" dxfId="3" priority="6" operator="equal">
      <formula>3</formula>
    </cfRule>
  </conditionalFormatting>
  <conditionalFormatting sqref="AP26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129B-3834-48E5-9725-6A1D2730C907}">
  <dimension ref="A1:W42"/>
  <sheetViews>
    <sheetView zoomScaleNormal="100" workbookViewId="0">
      <selection activeCell="R38" sqref="R38"/>
    </sheetView>
  </sheetViews>
  <sheetFormatPr defaultRowHeight="14.25" x14ac:dyDescent="0.2"/>
  <cols>
    <col min="1" max="1" width="10.625" customWidth="1"/>
    <col min="10" max="10" width="9.5" customWidth="1"/>
    <col min="11" max="11" width="9.625" customWidth="1"/>
    <col min="12" max="12" width="9.75" customWidth="1"/>
  </cols>
  <sheetData>
    <row r="1" spans="1:23" ht="16.5" x14ac:dyDescent="0.3">
      <c r="B1" s="150" t="s">
        <v>25</v>
      </c>
      <c r="C1" s="151"/>
      <c r="D1" s="151"/>
      <c r="E1" s="151"/>
      <c r="F1" s="151"/>
      <c r="G1" s="151"/>
      <c r="H1" s="151"/>
      <c r="I1" s="151"/>
      <c r="J1" s="151"/>
      <c r="K1" s="151"/>
      <c r="L1" s="152"/>
      <c r="M1" s="149" t="s">
        <v>26</v>
      </c>
      <c r="N1" s="149"/>
      <c r="O1" s="149"/>
      <c r="P1" s="149"/>
      <c r="Q1" s="149"/>
      <c r="R1" s="149"/>
      <c r="S1" s="149"/>
      <c r="T1" s="149"/>
      <c r="U1" s="149"/>
      <c r="V1" s="149"/>
      <c r="W1" s="149"/>
    </row>
    <row r="2" spans="1:23" x14ac:dyDescent="0.2">
      <c r="A2" t="s">
        <v>13</v>
      </c>
      <c r="B2" s="20" t="s">
        <v>0</v>
      </c>
      <c r="C2" s="20" t="s">
        <v>10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8</v>
      </c>
      <c r="L2" s="20" t="s">
        <v>9</v>
      </c>
      <c r="M2" s="20" t="s">
        <v>11</v>
      </c>
      <c r="N2" s="20" t="s">
        <v>10</v>
      </c>
      <c r="O2" s="20" t="s">
        <v>1</v>
      </c>
      <c r="P2" s="20" t="s">
        <v>2</v>
      </c>
      <c r="Q2" s="20" t="s">
        <v>3</v>
      </c>
      <c r="R2" s="20" t="s">
        <v>4</v>
      </c>
      <c r="S2" s="20" t="s">
        <v>5</v>
      </c>
      <c r="T2" s="20" t="s">
        <v>6</v>
      </c>
      <c r="U2" s="20" t="s">
        <v>7</v>
      </c>
      <c r="V2" s="20" t="s">
        <v>8</v>
      </c>
      <c r="W2" s="20" t="s">
        <v>9</v>
      </c>
    </row>
    <row r="3" spans="1:23" x14ac:dyDescent="0.2">
      <c r="B3" s="2">
        <v>1</v>
      </c>
      <c r="C3" s="2">
        <f>D3*战力关系!$B$2+E3*战力关系!$B$3+F3*战力关系!$B$4+G3*战力关系!$B$5+H3*战力关系!$B$6+I3*战力关系!$B$7+J3*战力关系!$B$8</f>
        <v>391</v>
      </c>
      <c r="D3" s="2">
        <v>20</v>
      </c>
      <c r="E3" s="2">
        <f>D3</f>
        <v>20</v>
      </c>
      <c r="F3" s="2">
        <f>D3*25</f>
        <v>500</v>
      </c>
      <c r="G3" s="2">
        <f>D3*0.35</f>
        <v>7</v>
      </c>
      <c r="H3" s="2">
        <f>D3*0.2</f>
        <v>4</v>
      </c>
      <c r="I3" s="2">
        <f>D3*0.002</f>
        <v>0.04</v>
      </c>
      <c r="J3" s="2">
        <f>D3*0.0016</f>
        <v>3.2000000000000001E-2</v>
      </c>
      <c r="K3" s="2"/>
      <c r="L3" s="2"/>
      <c r="M3" s="2">
        <f>1</f>
        <v>1</v>
      </c>
      <c r="N3" s="2">
        <f>O3*战力关系!$B$2+P3*战力关系!$B$3+Q3*战力关系!$B$4+R3*战力关系!$B$5+S3*战力关系!$B$6+T3*战力关系!$B$7+U3*战力关系!$B$8</f>
        <v>391</v>
      </c>
      <c r="O3" s="2">
        <f>D3*$M3</f>
        <v>20</v>
      </c>
      <c r="P3" s="2">
        <f t="shared" ref="P3:U3" si="0">E3*$M3</f>
        <v>20</v>
      </c>
      <c r="Q3" s="2">
        <f t="shared" si="0"/>
        <v>500</v>
      </c>
      <c r="R3" s="2">
        <f t="shared" si="0"/>
        <v>7</v>
      </c>
      <c r="S3" s="2">
        <f t="shared" si="0"/>
        <v>4</v>
      </c>
      <c r="T3" s="2">
        <f t="shared" si="0"/>
        <v>0.04</v>
      </c>
      <c r="U3" s="2">
        <f t="shared" si="0"/>
        <v>3.2000000000000001E-2</v>
      </c>
      <c r="V3" s="2"/>
      <c r="W3" s="2"/>
    </row>
    <row r="4" spans="1:23" x14ac:dyDescent="0.2">
      <c r="B4" s="2">
        <v>2</v>
      </c>
      <c r="C4" s="2">
        <f>D4*战力关系!$B$2+E4*战力关系!$B$3+F4*战力关系!$B$4+G4*战力关系!$B$5+H4*战力关系!$B$6+I4*战力关系!$B$7+J4*战力关系!$B$8</f>
        <v>488.75</v>
      </c>
      <c r="D4" s="2">
        <v>25</v>
      </c>
      <c r="E4" s="2">
        <f t="shared" ref="E4:E42" si="1">D4</f>
        <v>25</v>
      </c>
      <c r="F4" s="2">
        <f t="shared" ref="F4:F5" si="2">D4*25</f>
        <v>625</v>
      </c>
      <c r="G4" s="2">
        <f t="shared" ref="G4:G16" si="3">D4*0.35</f>
        <v>8.75</v>
      </c>
      <c r="H4" s="2">
        <f t="shared" ref="H4:H16" si="4">D4*0.2</f>
        <v>5</v>
      </c>
      <c r="I4" s="2">
        <f t="shared" ref="I4:I16" si="5">D4*0.002</f>
        <v>0.05</v>
      </c>
      <c r="J4" s="2">
        <f t="shared" ref="J4:J16" si="6">D4*0.0016</f>
        <v>0.04</v>
      </c>
      <c r="K4" s="2"/>
      <c r="L4" s="2"/>
      <c r="M4" s="2">
        <f>1</f>
        <v>1</v>
      </c>
      <c r="N4" s="2">
        <f>O4*战力关系!$B$2+P4*战力关系!$B$3+Q4*战力关系!$B$4+R4*战力关系!$B$5+S4*战力关系!$B$6+T4*战力关系!$B$7+U4*战力关系!$B$8</f>
        <v>488.75</v>
      </c>
      <c r="O4" s="2">
        <f t="shared" ref="O4:O42" si="7">D4*$M4</f>
        <v>25</v>
      </c>
      <c r="P4" s="2">
        <f t="shared" ref="P4:P42" si="8">E4*$M4</f>
        <v>25</v>
      </c>
      <c r="Q4" s="2">
        <f t="shared" ref="Q4:Q42" si="9">F4*$M4</f>
        <v>625</v>
      </c>
      <c r="R4" s="2">
        <f t="shared" ref="R4:R42" si="10">G4*$M4</f>
        <v>8.75</v>
      </c>
      <c r="S4" s="2">
        <f t="shared" ref="S4:S42" si="11">H4*$M4</f>
        <v>5</v>
      </c>
      <c r="T4" s="2">
        <f t="shared" ref="T4:T42" si="12">I4*$M4</f>
        <v>0.05</v>
      </c>
      <c r="U4" s="2">
        <f t="shared" ref="U4:U42" si="13">J4*$M4</f>
        <v>0.04</v>
      </c>
      <c r="V4" s="2"/>
      <c r="W4" s="2"/>
    </row>
    <row r="5" spans="1:23" x14ac:dyDescent="0.2">
      <c r="B5" s="2">
        <v>3</v>
      </c>
      <c r="C5" s="2">
        <f>D5*战力关系!$B$2+E5*战力关系!$B$3+F5*战力关系!$B$4+G5*战力关系!$B$5+H5*战力关系!$B$6+I5*战力关系!$B$7+J5*战力关系!$B$8</f>
        <v>586.5</v>
      </c>
      <c r="D5" s="2">
        <v>30</v>
      </c>
      <c r="E5" s="2">
        <f t="shared" si="1"/>
        <v>30</v>
      </c>
      <c r="F5" s="2">
        <f t="shared" si="2"/>
        <v>750</v>
      </c>
      <c r="G5" s="2">
        <f t="shared" si="3"/>
        <v>10.5</v>
      </c>
      <c r="H5" s="2">
        <f t="shared" si="4"/>
        <v>6</v>
      </c>
      <c r="I5" s="2">
        <f t="shared" si="5"/>
        <v>0.06</v>
      </c>
      <c r="J5" s="2">
        <f t="shared" si="6"/>
        <v>4.8000000000000001E-2</v>
      </c>
      <c r="K5" s="2"/>
      <c r="L5" s="2"/>
      <c r="M5" s="2">
        <f>1</f>
        <v>1</v>
      </c>
      <c r="N5" s="2">
        <f>O5*战力关系!$B$2+P5*战力关系!$B$3+Q5*战力关系!$B$4+R5*战力关系!$B$5+S5*战力关系!$B$6+T5*战力关系!$B$7+U5*战力关系!$B$8</f>
        <v>586.5</v>
      </c>
      <c r="O5" s="2">
        <f t="shared" si="7"/>
        <v>30</v>
      </c>
      <c r="P5" s="2">
        <f t="shared" si="8"/>
        <v>30</v>
      </c>
      <c r="Q5" s="2">
        <f t="shared" si="9"/>
        <v>750</v>
      </c>
      <c r="R5" s="2">
        <f t="shared" si="10"/>
        <v>10.5</v>
      </c>
      <c r="S5" s="2">
        <f t="shared" si="11"/>
        <v>6</v>
      </c>
      <c r="T5" s="2">
        <f t="shared" si="12"/>
        <v>0.06</v>
      </c>
      <c r="U5" s="2">
        <f t="shared" si="13"/>
        <v>4.8000000000000001E-2</v>
      </c>
      <c r="V5" s="2"/>
      <c r="W5" s="2"/>
    </row>
    <row r="6" spans="1:23" x14ac:dyDescent="0.2">
      <c r="B6" s="2">
        <v>4</v>
      </c>
      <c r="C6" s="2">
        <f>D6*战力关系!$B$2+E6*战力关系!$B$3+F6*战力关系!$B$4+G6*战力关系!$B$5+H6*战力关系!$B$6+I6*战力关系!$B$7+J6*战力关系!$B$8</f>
        <v>684.25</v>
      </c>
      <c r="D6" s="2">
        <v>35</v>
      </c>
      <c r="E6" s="2">
        <f t="shared" si="1"/>
        <v>35</v>
      </c>
      <c r="F6" s="2">
        <f t="shared" ref="F6:F12" si="14">D6*25</f>
        <v>875</v>
      </c>
      <c r="G6" s="2">
        <f t="shared" si="3"/>
        <v>12.25</v>
      </c>
      <c r="H6" s="2">
        <f t="shared" si="4"/>
        <v>7</v>
      </c>
      <c r="I6" s="2">
        <f t="shared" si="5"/>
        <v>7.0000000000000007E-2</v>
      </c>
      <c r="J6" s="2">
        <f t="shared" si="6"/>
        <v>5.6000000000000001E-2</v>
      </c>
      <c r="K6" s="2"/>
      <c r="L6" s="2"/>
      <c r="M6" s="2">
        <f>1</f>
        <v>1</v>
      </c>
      <c r="N6" s="2">
        <f>O6*战力关系!$B$2+P6*战力关系!$B$3+Q6*战力关系!$B$4+R6*战力关系!$B$5+S6*战力关系!$B$6+T6*战力关系!$B$7+U6*战力关系!$B$8</f>
        <v>684.25</v>
      </c>
      <c r="O6" s="2">
        <f t="shared" si="7"/>
        <v>35</v>
      </c>
      <c r="P6" s="2">
        <f t="shared" si="8"/>
        <v>35</v>
      </c>
      <c r="Q6" s="2">
        <f t="shared" si="9"/>
        <v>875</v>
      </c>
      <c r="R6" s="2">
        <f t="shared" si="10"/>
        <v>12.25</v>
      </c>
      <c r="S6" s="2">
        <f t="shared" si="11"/>
        <v>7</v>
      </c>
      <c r="T6" s="2">
        <f t="shared" si="12"/>
        <v>7.0000000000000007E-2</v>
      </c>
      <c r="U6" s="2">
        <f t="shared" si="13"/>
        <v>5.6000000000000001E-2</v>
      </c>
      <c r="V6" s="2"/>
      <c r="W6" s="2"/>
    </row>
    <row r="7" spans="1:23" x14ac:dyDescent="0.2">
      <c r="B7" s="2">
        <v>5</v>
      </c>
      <c r="C7" s="2">
        <f>D7*战力关系!$B$2+E7*战力关系!$B$3+F7*战力关系!$B$4+G7*战力关系!$B$5+H7*战力关系!$B$6+I7*战力关系!$B$7+J7*战力关系!$B$8</f>
        <v>782</v>
      </c>
      <c r="D7" s="2">
        <v>40</v>
      </c>
      <c r="E7" s="2">
        <f t="shared" si="1"/>
        <v>40</v>
      </c>
      <c r="F7" s="2">
        <f t="shared" si="14"/>
        <v>1000</v>
      </c>
      <c r="G7" s="2">
        <f t="shared" si="3"/>
        <v>14</v>
      </c>
      <c r="H7" s="2">
        <f t="shared" si="4"/>
        <v>8</v>
      </c>
      <c r="I7" s="2">
        <f t="shared" si="5"/>
        <v>0.08</v>
      </c>
      <c r="J7" s="2">
        <f t="shared" si="6"/>
        <v>6.4000000000000001E-2</v>
      </c>
      <c r="K7" s="2"/>
      <c r="L7" s="2"/>
      <c r="M7" s="2">
        <f>1</f>
        <v>1</v>
      </c>
      <c r="N7" s="2">
        <f>O7*战力关系!$B$2+P7*战力关系!$B$3+Q7*战力关系!$B$4+R7*战力关系!$B$5+S7*战力关系!$B$6+T7*战力关系!$B$7+U7*战力关系!$B$8</f>
        <v>782</v>
      </c>
      <c r="O7" s="2">
        <f t="shared" si="7"/>
        <v>40</v>
      </c>
      <c r="P7" s="2">
        <f t="shared" si="8"/>
        <v>40</v>
      </c>
      <c r="Q7" s="2">
        <f t="shared" si="9"/>
        <v>1000</v>
      </c>
      <c r="R7" s="2">
        <f t="shared" si="10"/>
        <v>14</v>
      </c>
      <c r="S7" s="2">
        <f t="shared" si="11"/>
        <v>8</v>
      </c>
      <c r="T7" s="2">
        <f t="shared" si="12"/>
        <v>0.08</v>
      </c>
      <c r="U7" s="2">
        <f t="shared" si="13"/>
        <v>6.4000000000000001E-2</v>
      </c>
      <c r="V7" s="2"/>
      <c r="W7" s="2"/>
    </row>
    <row r="8" spans="1:23" x14ac:dyDescent="0.2">
      <c r="B8" s="2">
        <v>6</v>
      </c>
      <c r="C8" s="2">
        <f>D8*战力关系!$B$2+E8*战力关系!$B$3+F8*战力关系!$B$4+G8*战力关系!$B$5+H8*战力关系!$B$6+I8*战力关系!$B$7+J8*战力关系!$B$8</f>
        <v>879.75</v>
      </c>
      <c r="D8" s="2">
        <v>45</v>
      </c>
      <c r="E8" s="2">
        <f t="shared" si="1"/>
        <v>45</v>
      </c>
      <c r="F8" s="2">
        <f t="shared" si="14"/>
        <v>1125</v>
      </c>
      <c r="G8" s="2">
        <f t="shared" si="3"/>
        <v>15.749999999999998</v>
      </c>
      <c r="H8" s="2">
        <f t="shared" si="4"/>
        <v>9</v>
      </c>
      <c r="I8" s="2">
        <f t="shared" si="5"/>
        <v>0.09</v>
      </c>
      <c r="J8" s="2">
        <f t="shared" si="6"/>
        <v>7.2000000000000008E-2</v>
      </c>
      <c r="K8" s="2"/>
      <c r="L8" s="2"/>
      <c r="M8" s="2">
        <v>1.1000000000000001</v>
      </c>
      <c r="N8" s="2">
        <f>O8*战力关系!$B$2+P8*战力关系!$B$3+Q8*战力关系!$B$4+R8*战力关系!$B$5+S8*战力关系!$B$6+T8*战力关系!$B$7+U8*战力关系!$B$8</f>
        <v>967.72500000000002</v>
      </c>
      <c r="O8" s="2">
        <f t="shared" si="7"/>
        <v>49.500000000000007</v>
      </c>
      <c r="P8" s="2">
        <f t="shared" si="8"/>
        <v>49.500000000000007</v>
      </c>
      <c r="Q8" s="2">
        <f t="shared" si="9"/>
        <v>1237.5</v>
      </c>
      <c r="R8" s="2">
        <f t="shared" si="10"/>
        <v>17.324999999999999</v>
      </c>
      <c r="S8" s="2">
        <f t="shared" si="11"/>
        <v>9.9</v>
      </c>
      <c r="T8" s="2">
        <f t="shared" si="12"/>
        <v>9.9000000000000005E-2</v>
      </c>
      <c r="U8" s="2">
        <f t="shared" si="13"/>
        <v>7.920000000000002E-2</v>
      </c>
      <c r="V8" s="2"/>
      <c r="W8" s="2"/>
    </row>
    <row r="9" spans="1:23" x14ac:dyDescent="0.2">
      <c r="B9" s="2">
        <v>7</v>
      </c>
      <c r="C9" s="2">
        <f>D9*战力关系!$B$2+E9*战力关系!$B$3+F9*战力关系!$B$4+G9*战力关系!$B$5+H9*战力关系!$B$6+I9*战力关系!$B$7+J9*战力关系!$B$8</f>
        <v>977.5</v>
      </c>
      <c r="D9" s="2">
        <v>50</v>
      </c>
      <c r="E9" s="2">
        <f t="shared" si="1"/>
        <v>50</v>
      </c>
      <c r="F9" s="2">
        <f t="shared" si="14"/>
        <v>1250</v>
      </c>
      <c r="G9" s="2">
        <f t="shared" si="3"/>
        <v>17.5</v>
      </c>
      <c r="H9" s="2">
        <f t="shared" si="4"/>
        <v>10</v>
      </c>
      <c r="I9" s="2">
        <f t="shared" si="5"/>
        <v>0.1</v>
      </c>
      <c r="J9" s="2">
        <f t="shared" si="6"/>
        <v>0.08</v>
      </c>
      <c r="K9" s="2"/>
      <c r="L9" s="2"/>
      <c r="M9" s="2">
        <v>1.1000000000000001</v>
      </c>
      <c r="N9" s="2">
        <f>O9*战力关系!$B$2+P9*战力关系!$B$3+Q9*战力关系!$B$4+R9*战力关系!$B$5+S9*战力关系!$B$6+T9*战力关系!$B$7+U9*战力关系!$B$8</f>
        <v>1075.2500000000002</v>
      </c>
      <c r="O9" s="2">
        <f t="shared" si="7"/>
        <v>55.000000000000007</v>
      </c>
      <c r="P9" s="2">
        <f t="shared" si="8"/>
        <v>55.000000000000007</v>
      </c>
      <c r="Q9" s="2">
        <f t="shared" si="9"/>
        <v>1375</v>
      </c>
      <c r="R9" s="2">
        <f t="shared" si="10"/>
        <v>19.25</v>
      </c>
      <c r="S9" s="2">
        <f t="shared" si="11"/>
        <v>11</v>
      </c>
      <c r="T9" s="2">
        <f t="shared" si="12"/>
        <v>0.11000000000000001</v>
      </c>
      <c r="U9" s="2">
        <f t="shared" si="13"/>
        <v>8.8000000000000009E-2</v>
      </c>
      <c r="V9" s="2"/>
      <c r="W9" s="2"/>
    </row>
    <row r="10" spans="1:23" x14ac:dyDescent="0.2">
      <c r="B10" s="2">
        <v>8</v>
      </c>
      <c r="C10" s="2">
        <f>D10*战力关系!$B$2+E10*战力关系!$B$3+F10*战力关系!$B$4+G10*战力关系!$B$5+H10*战力关系!$B$6+I10*战力关系!$B$7+J10*战力关系!$B$8</f>
        <v>1075.25</v>
      </c>
      <c r="D10" s="2">
        <v>55</v>
      </c>
      <c r="E10" s="2">
        <f t="shared" si="1"/>
        <v>55</v>
      </c>
      <c r="F10" s="2">
        <f t="shared" si="14"/>
        <v>1375</v>
      </c>
      <c r="G10" s="2">
        <f t="shared" si="3"/>
        <v>19.25</v>
      </c>
      <c r="H10" s="2">
        <f t="shared" si="4"/>
        <v>11</v>
      </c>
      <c r="I10" s="2">
        <f t="shared" si="5"/>
        <v>0.11</v>
      </c>
      <c r="J10" s="2">
        <f t="shared" si="6"/>
        <v>8.8000000000000009E-2</v>
      </c>
      <c r="K10" s="2"/>
      <c r="L10" s="2"/>
      <c r="M10" s="2">
        <v>1.2</v>
      </c>
      <c r="N10" s="2">
        <f>O10*战力关系!$B$2+P10*战力关系!$B$3+Q10*战力关系!$B$4+R10*战力关系!$B$5+S10*战力关系!$B$6+T10*战力关系!$B$7+U10*战力关系!$B$8</f>
        <v>1290.3</v>
      </c>
      <c r="O10" s="2">
        <f t="shared" si="7"/>
        <v>66</v>
      </c>
      <c r="P10" s="2">
        <f t="shared" si="8"/>
        <v>66</v>
      </c>
      <c r="Q10" s="2">
        <f t="shared" si="9"/>
        <v>1650</v>
      </c>
      <c r="R10" s="2">
        <f t="shared" si="10"/>
        <v>23.099999999999998</v>
      </c>
      <c r="S10" s="2">
        <f t="shared" si="11"/>
        <v>13.2</v>
      </c>
      <c r="T10" s="2">
        <f t="shared" si="12"/>
        <v>0.13200000000000001</v>
      </c>
      <c r="U10" s="2">
        <f t="shared" si="13"/>
        <v>0.10560000000000001</v>
      </c>
      <c r="V10" s="2"/>
      <c r="W10" s="2"/>
    </row>
    <row r="11" spans="1:23" x14ac:dyDescent="0.2">
      <c r="B11" s="2">
        <v>9</v>
      </c>
      <c r="C11" s="2">
        <f>D11*战力关系!$B$2+E11*战力关系!$B$3+F11*战力关系!$B$4+G11*战力关系!$B$5+H11*战力关系!$B$6+I11*战力关系!$B$7+J11*战力关系!$B$8</f>
        <v>1173</v>
      </c>
      <c r="D11" s="2">
        <v>60</v>
      </c>
      <c r="E11" s="2">
        <f t="shared" si="1"/>
        <v>60</v>
      </c>
      <c r="F11" s="2">
        <f t="shared" si="14"/>
        <v>1500</v>
      </c>
      <c r="G11" s="2">
        <f t="shared" si="3"/>
        <v>21</v>
      </c>
      <c r="H11" s="2">
        <f t="shared" si="4"/>
        <v>12</v>
      </c>
      <c r="I11" s="2">
        <f t="shared" si="5"/>
        <v>0.12</v>
      </c>
      <c r="J11" s="2">
        <f t="shared" si="6"/>
        <v>9.6000000000000002E-2</v>
      </c>
      <c r="K11" s="2"/>
      <c r="L11" s="2"/>
      <c r="M11" s="2">
        <v>1.2</v>
      </c>
      <c r="N11" s="2">
        <f>O11*战力关系!$B$2+P11*战力关系!$B$3+Q11*战力关系!$B$4+R11*战力关系!$B$5+S11*战力关系!$B$6+T11*战力关系!$B$7+U11*战力关系!$B$8</f>
        <v>1407.6</v>
      </c>
      <c r="O11" s="2">
        <f t="shared" si="7"/>
        <v>72</v>
      </c>
      <c r="P11" s="2">
        <f t="shared" si="8"/>
        <v>72</v>
      </c>
      <c r="Q11" s="2">
        <f t="shared" si="9"/>
        <v>1800</v>
      </c>
      <c r="R11" s="2">
        <f t="shared" si="10"/>
        <v>25.2</v>
      </c>
      <c r="S11" s="2">
        <f t="shared" si="11"/>
        <v>14.399999999999999</v>
      </c>
      <c r="T11" s="2">
        <f t="shared" si="12"/>
        <v>0.14399999999999999</v>
      </c>
      <c r="U11" s="2">
        <f t="shared" si="13"/>
        <v>0.1152</v>
      </c>
      <c r="V11" s="2"/>
      <c r="W11" s="2"/>
    </row>
    <row r="12" spans="1:23" x14ac:dyDescent="0.2">
      <c r="A12" t="s">
        <v>16</v>
      </c>
      <c r="B12" s="2">
        <v>10</v>
      </c>
      <c r="C12" s="2">
        <f>D12*战力关系!$B$2+E12*战力关系!$B$3+F12*战力关系!$B$4+G12*战力关系!$B$5+H12*战力关系!$B$6+I12*战力关系!$B$7+J12*战力关系!$B$8</f>
        <v>1270.75</v>
      </c>
      <c r="D12" s="2">
        <v>65</v>
      </c>
      <c r="E12" s="2">
        <f t="shared" si="1"/>
        <v>65</v>
      </c>
      <c r="F12" s="2">
        <f t="shared" si="14"/>
        <v>1625</v>
      </c>
      <c r="G12" s="2">
        <f t="shared" si="3"/>
        <v>22.75</v>
      </c>
      <c r="H12" s="2">
        <f t="shared" si="4"/>
        <v>13</v>
      </c>
      <c r="I12" s="2">
        <f t="shared" si="5"/>
        <v>0.13</v>
      </c>
      <c r="J12" s="2">
        <f t="shared" si="6"/>
        <v>0.10400000000000001</v>
      </c>
      <c r="K12" s="2"/>
      <c r="L12" s="2"/>
      <c r="M12" s="2">
        <v>1.3</v>
      </c>
      <c r="N12" s="2">
        <f>O12*战力关系!$B$2+P12*战力关系!$B$3+Q12*战力关系!$B$4+R12*战力关系!$B$5+S12*战力关系!$B$6+T12*战力关系!$B$7+U12*战力关系!$B$8</f>
        <v>1651.9749999999999</v>
      </c>
      <c r="O12" s="2">
        <f t="shared" si="7"/>
        <v>84.5</v>
      </c>
      <c r="P12" s="2">
        <f t="shared" si="8"/>
        <v>84.5</v>
      </c>
      <c r="Q12" s="2">
        <f t="shared" si="9"/>
        <v>2112.5</v>
      </c>
      <c r="R12" s="2">
        <f t="shared" si="10"/>
        <v>29.574999999999999</v>
      </c>
      <c r="S12" s="2">
        <f t="shared" si="11"/>
        <v>16.900000000000002</v>
      </c>
      <c r="T12" s="2">
        <f t="shared" si="12"/>
        <v>0.16900000000000001</v>
      </c>
      <c r="U12" s="2">
        <f t="shared" si="13"/>
        <v>0.13520000000000001</v>
      </c>
      <c r="V12" s="2"/>
      <c r="W12" s="2"/>
    </row>
    <row r="13" spans="1:23" x14ac:dyDescent="0.2">
      <c r="B13" s="2">
        <v>11</v>
      </c>
      <c r="C13" s="2">
        <f>D13*战力关系!$B$2+E13*战力关系!$B$3+F13*战力关系!$B$4+G13*战力关系!$B$5+H13*战力关系!$B$6+I13*战力关系!$B$7+J13*战力关系!$B$8</f>
        <v>1368.5</v>
      </c>
      <c r="D13" s="2">
        <v>70</v>
      </c>
      <c r="E13" s="2">
        <f t="shared" si="1"/>
        <v>70</v>
      </c>
      <c r="F13" s="2">
        <f t="shared" ref="F13:F42" si="15">D13*25</f>
        <v>1750</v>
      </c>
      <c r="G13" s="2">
        <f t="shared" si="3"/>
        <v>24.5</v>
      </c>
      <c r="H13" s="2">
        <f t="shared" si="4"/>
        <v>14</v>
      </c>
      <c r="I13" s="2">
        <f t="shared" si="5"/>
        <v>0.14000000000000001</v>
      </c>
      <c r="J13" s="2">
        <f t="shared" si="6"/>
        <v>0.112</v>
      </c>
      <c r="K13" s="2"/>
      <c r="L13" s="2"/>
      <c r="M13" s="2">
        <v>1.3</v>
      </c>
      <c r="N13" s="2">
        <f>O13*战力关系!$B$2+P13*战力关系!$B$3+Q13*战力关系!$B$4+R13*战力关系!$B$5+S13*战力关系!$B$6+T13*战力关系!$B$7+U13*战力关系!$B$8</f>
        <v>1779.05</v>
      </c>
      <c r="O13" s="2">
        <f t="shared" si="7"/>
        <v>91</v>
      </c>
      <c r="P13" s="2">
        <f t="shared" si="8"/>
        <v>91</v>
      </c>
      <c r="Q13" s="2">
        <f t="shared" si="9"/>
        <v>2275</v>
      </c>
      <c r="R13" s="2">
        <f t="shared" si="10"/>
        <v>31.85</v>
      </c>
      <c r="S13" s="2">
        <f t="shared" si="11"/>
        <v>18.2</v>
      </c>
      <c r="T13" s="2">
        <f t="shared" si="12"/>
        <v>0.18200000000000002</v>
      </c>
      <c r="U13" s="2">
        <f t="shared" si="13"/>
        <v>0.14560000000000001</v>
      </c>
      <c r="V13" s="2"/>
      <c r="W13" s="2"/>
    </row>
    <row r="14" spans="1:23" x14ac:dyDescent="0.2">
      <c r="B14" s="2">
        <v>12</v>
      </c>
      <c r="C14" s="2">
        <f>D14*战力关系!$B$2+E14*战力关系!$B$3+F14*战力关系!$B$4+G14*战力关系!$B$5+H14*战力关系!$B$6+I14*战力关系!$B$7+J14*战力关系!$B$8</f>
        <v>1466.25</v>
      </c>
      <c r="D14" s="2">
        <v>75</v>
      </c>
      <c r="E14" s="2">
        <f t="shared" si="1"/>
        <v>75</v>
      </c>
      <c r="F14" s="2">
        <f t="shared" si="15"/>
        <v>1875</v>
      </c>
      <c r="G14" s="2">
        <f t="shared" si="3"/>
        <v>26.25</v>
      </c>
      <c r="H14" s="2">
        <f t="shared" si="4"/>
        <v>15</v>
      </c>
      <c r="I14" s="2">
        <f t="shared" si="5"/>
        <v>0.15</v>
      </c>
      <c r="J14" s="2">
        <f t="shared" si="6"/>
        <v>0.12000000000000001</v>
      </c>
      <c r="K14" s="2"/>
      <c r="L14" s="2"/>
      <c r="M14" s="2">
        <v>1.3</v>
      </c>
      <c r="N14" s="2">
        <f>O14*战力关系!$B$2+P14*战力关系!$B$3+Q14*战力关系!$B$4+R14*战力关系!$B$5+S14*战力关系!$B$6+T14*战力关系!$B$7+U14*战力关系!$B$8</f>
        <v>1906.125</v>
      </c>
      <c r="O14" s="2">
        <f t="shared" si="7"/>
        <v>97.5</v>
      </c>
      <c r="P14" s="2">
        <f t="shared" si="8"/>
        <v>97.5</v>
      </c>
      <c r="Q14" s="2">
        <f t="shared" si="9"/>
        <v>2437.5</v>
      </c>
      <c r="R14" s="2">
        <f t="shared" si="10"/>
        <v>34.125</v>
      </c>
      <c r="S14" s="2">
        <f t="shared" si="11"/>
        <v>19.5</v>
      </c>
      <c r="T14" s="2">
        <f t="shared" si="12"/>
        <v>0.19500000000000001</v>
      </c>
      <c r="U14" s="2">
        <f t="shared" si="13"/>
        <v>0.15600000000000003</v>
      </c>
      <c r="V14" s="2"/>
      <c r="W14" s="2"/>
    </row>
    <row r="15" spans="1:23" x14ac:dyDescent="0.2">
      <c r="B15" s="2">
        <v>13</v>
      </c>
      <c r="C15" s="2">
        <f>D15*战力关系!$B$2+E15*战力关系!$B$3+F15*战力关系!$B$4+G15*战力关系!$B$5+H15*战力关系!$B$6+I15*战力关系!$B$7+J15*战力关系!$B$8</f>
        <v>1564</v>
      </c>
      <c r="D15" s="2">
        <v>80</v>
      </c>
      <c r="E15" s="2">
        <f t="shared" si="1"/>
        <v>80</v>
      </c>
      <c r="F15" s="2">
        <f t="shared" si="15"/>
        <v>2000</v>
      </c>
      <c r="G15" s="2">
        <f t="shared" si="3"/>
        <v>28</v>
      </c>
      <c r="H15" s="2">
        <f t="shared" si="4"/>
        <v>16</v>
      </c>
      <c r="I15" s="2">
        <f t="shared" si="5"/>
        <v>0.16</v>
      </c>
      <c r="J15" s="2">
        <f t="shared" si="6"/>
        <v>0.128</v>
      </c>
      <c r="K15" s="2"/>
      <c r="L15" s="2"/>
      <c r="M15" s="2">
        <v>1.4</v>
      </c>
      <c r="N15" s="2">
        <f>O15*战力关系!$B$2+P15*战力关系!$B$3+Q15*战力关系!$B$4+R15*战力关系!$B$5+S15*战力关系!$B$6+T15*战力关系!$B$7+U15*战力关系!$B$8</f>
        <v>2189.6</v>
      </c>
      <c r="O15" s="2">
        <f t="shared" si="7"/>
        <v>112</v>
      </c>
      <c r="P15" s="2">
        <f t="shared" si="8"/>
        <v>112</v>
      </c>
      <c r="Q15" s="2">
        <f t="shared" si="9"/>
        <v>2800</v>
      </c>
      <c r="R15" s="2">
        <f t="shared" si="10"/>
        <v>39.199999999999996</v>
      </c>
      <c r="S15" s="2">
        <f t="shared" si="11"/>
        <v>22.4</v>
      </c>
      <c r="T15" s="2">
        <f t="shared" si="12"/>
        <v>0.22399999999999998</v>
      </c>
      <c r="U15" s="2">
        <f t="shared" si="13"/>
        <v>0.1792</v>
      </c>
      <c r="V15" s="2"/>
      <c r="W15" s="2"/>
    </row>
    <row r="16" spans="1:23" x14ac:dyDescent="0.2">
      <c r="B16" s="2">
        <v>14</v>
      </c>
      <c r="C16" s="2">
        <f>D16*战力关系!$B$2+E16*战力关系!$B$3+F16*战力关系!$B$4+G16*战力关系!$B$5+H16*战力关系!$B$6+I16*战力关系!$B$7+J16*战力关系!$B$8</f>
        <v>1661.75</v>
      </c>
      <c r="D16" s="2">
        <v>85</v>
      </c>
      <c r="E16" s="2">
        <f t="shared" si="1"/>
        <v>85</v>
      </c>
      <c r="F16" s="2">
        <f t="shared" si="15"/>
        <v>2125</v>
      </c>
      <c r="G16" s="2">
        <f t="shared" si="3"/>
        <v>29.749999999999996</v>
      </c>
      <c r="H16" s="2">
        <f t="shared" si="4"/>
        <v>17</v>
      </c>
      <c r="I16" s="2">
        <f t="shared" si="5"/>
        <v>0.17</v>
      </c>
      <c r="J16" s="2">
        <f t="shared" si="6"/>
        <v>0.13600000000000001</v>
      </c>
      <c r="K16" s="2"/>
      <c r="L16" s="2"/>
      <c r="M16" s="2">
        <v>1.4</v>
      </c>
      <c r="N16" s="2">
        <f>O16*战力关系!$B$2+P16*战力关系!$B$3+Q16*战力关系!$B$4+R16*战力关系!$B$5+S16*战力关系!$B$6+T16*战力关系!$B$7+U16*战力关系!$B$8</f>
        <v>2326.4499999999994</v>
      </c>
      <c r="O16" s="2">
        <f t="shared" si="7"/>
        <v>118.99999999999999</v>
      </c>
      <c r="P16" s="2">
        <f t="shared" si="8"/>
        <v>118.99999999999999</v>
      </c>
      <c r="Q16" s="2">
        <f t="shared" si="9"/>
        <v>2975</v>
      </c>
      <c r="R16" s="2">
        <f t="shared" si="10"/>
        <v>41.649999999999991</v>
      </c>
      <c r="S16" s="2">
        <f t="shared" si="11"/>
        <v>23.799999999999997</v>
      </c>
      <c r="T16" s="2">
        <f t="shared" si="12"/>
        <v>0.23799999999999999</v>
      </c>
      <c r="U16" s="2">
        <f t="shared" si="13"/>
        <v>0.19040000000000001</v>
      </c>
      <c r="V16" s="2"/>
      <c r="W16" s="2"/>
    </row>
    <row r="17" spans="1:23" x14ac:dyDescent="0.2">
      <c r="A17" t="s">
        <v>14</v>
      </c>
      <c r="B17" s="2">
        <v>15</v>
      </c>
      <c r="C17" s="2">
        <f>D17*战力关系!$B$2+E17*战力关系!$B$3+F17*战力关系!$B$4+G17*战力关系!$B$5+H17*战力关系!$B$6+I17*战力关系!$B$7+J17*战力关系!$B$8</f>
        <v>2387</v>
      </c>
      <c r="D17" s="2">
        <v>110</v>
      </c>
      <c r="E17" s="2">
        <f t="shared" si="1"/>
        <v>110</v>
      </c>
      <c r="F17" s="2">
        <f t="shared" si="15"/>
        <v>2750</v>
      </c>
      <c r="G17" s="2">
        <f>D17*0.5</f>
        <v>55</v>
      </c>
      <c r="H17" s="2">
        <f>D17*0.3</f>
        <v>33</v>
      </c>
      <c r="I17" s="2">
        <f>D17*0.003</f>
        <v>0.33</v>
      </c>
      <c r="J17" s="2">
        <f>D17*0.0024</f>
        <v>0.26399999999999996</v>
      </c>
      <c r="K17" s="2"/>
      <c r="L17" s="2"/>
      <c r="M17" s="2">
        <v>1.4</v>
      </c>
      <c r="N17" s="2">
        <f>O17*战力关系!$B$2+P17*战力关系!$B$3+Q17*战力关系!$B$4+R17*战力关系!$B$5+S17*战力关系!$B$6+T17*战力关系!$B$7+U17*战力关系!$B$8</f>
        <v>3341.8</v>
      </c>
      <c r="O17" s="2">
        <f t="shared" si="7"/>
        <v>154</v>
      </c>
      <c r="P17" s="2">
        <f t="shared" si="8"/>
        <v>154</v>
      </c>
      <c r="Q17" s="2">
        <f t="shared" si="9"/>
        <v>3849.9999999999995</v>
      </c>
      <c r="R17" s="2">
        <f t="shared" si="10"/>
        <v>77</v>
      </c>
      <c r="S17" s="2">
        <f t="shared" si="11"/>
        <v>46.199999999999996</v>
      </c>
      <c r="T17" s="2">
        <f t="shared" si="12"/>
        <v>0.46199999999999997</v>
      </c>
      <c r="U17" s="2">
        <f t="shared" si="13"/>
        <v>0.36959999999999993</v>
      </c>
      <c r="V17" s="2"/>
      <c r="W17" s="2"/>
    </row>
    <row r="18" spans="1:23" x14ac:dyDescent="0.2">
      <c r="B18" s="2">
        <v>16</v>
      </c>
      <c r="C18" s="2">
        <f>D18*战力关系!$B$2+E18*战力关系!$B$3+F18*战力关系!$B$4+G18*战力关系!$B$5+H18*战力关系!$B$6+I18*战力关系!$B$7+J18*战力关系!$B$8</f>
        <v>2538.9</v>
      </c>
      <c r="D18" s="2">
        <v>117</v>
      </c>
      <c r="E18" s="2">
        <f t="shared" si="1"/>
        <v>117</v>
      </c>
      <c r="F18" s="2">
        <f t="shared" si="15"/>
        <v>2925</v>
      </c>
      <c r="G18" s="2">
        <f>D18*0.5</f>
        <v>58.5</v>
      </c>
      <c r="H18" s="2">
        <f>D18*0.3</f>
        <v>35.1</v>
      </c>
      <c r="I18" s="2">
        <f>D18*0.003</f>
        <v>0.35100000000000003</v>
      </c>
      <c r="J18" s="2">
        <f>D18*0.0024</f>
        <v>0.28079999999999999</v>
      </c>
      <c r="K18" s="2"/>
      <c r="L18" s="2"/>
      <c r="M18" s="2">
        <v>1.4</v>
      </c>
      <c r="N18" s="2">
        <f>O18*战力关系!$B$2+P18*战力关系!$B$3+Q18*战力关系!$B$4+R18*战力关系!$B$5+S18*战力关系!$B$6+T18*战力关系!$B$7+U18*战力关系!$B$8</f>
        <v>3554.4599999999996</v>
      </c>
      <c r="O18" s="2">
        <f t="shared" si="7"/>
        <v>163.79999999999998</v>
      </c>
      <c r="P18" s="2">
        <f t="shared" si="8"/>
        <v>163.79999999999998</v>
      </c>
      <c r="Q18" s="2">
        <f t="shared" si="9"/>
        <v>4094.9999999999995</v>
      </c>
      <c r="R18" s="2">
        <f t="shared" si="10"/>
        <v>81.899999999999991</v>
      </c>
      <c r="S18" s="2">
        <f t="shared" si="11"/>
        <v>49.14</v>
      </c>
      <c r="T18" s="2">
        <f t="shared" si="12"/>
        <v>0.4914</v>
      </c>
      <c r="U18" s="2">
        <f t="shared" si="13"/>
        <v>0.39311999999999997</v>
      </c>
      <c r="V18" s="2"/>
      <c r="W18" s="2"/>
    </row>
    <row r="19" spans="1:23" x14ac:dyDescent="0.2">
      <c r="B19" s="2">
        <v>17</v>
      </c>
      <c r="C19" s="2">
        <f>D19*战力关系!$B$2+E19*战力关系!$B$3+F19*战力关系!$B$4+G19*战力关系!$B$5+H19*战力关系!$B$6+I19*战力关系!$B$7+J19*战力关系!$B$8</f>
        <v>2690.8</v>
      </c>
      <c r="D19" s="2">
        <v>124</v>
      </c>
      <c r="E19" s="2">
        <f t="shared" si="1"/>
        <v>124</v>
      </c>
      <c r="F19" s="2">
        <f t="shared" si="15"/>
        <v>3100</v>
      </c>
      <c r="G19" s="2">
        <f t="shared" ref="G19:G21" si="16">D19*0.5</f>
        <v>62</v>
      </c>
      <c r="H19" s="2">
        <f t="shared" ref="H19:H21" si="17">D19*0.3</f>
        <v>37.199999999999996</v>
      </c>
      <c r="I19" s="2">
        <f t="shared" ref="I19:I21" si="18">D19*0.003</f>
        <v>0.372</v>
      </c>
      <c r="J19" s="2">
        <f t="shared" ref="J19:J21" si="19">D19*0.0024</f>
        <v>0.29759999999999998</v>
      </c>
      <c r="K19" s="2"/>
      <c r="L19" s="2"/>
      <c r="M19" s="2">
        <v>1.4</v>
      </c>
      <c r="N19" s="2">
        <f>O19*战力关系!$B$2+P19*战力关系!$B$3+Q19*战力关系!$B$4+R19*战力关系!$B$5+S19*战力关系!$B$6+T19*战力关系!$B$7+U19*战力关系!$B$8</f>
        <v>3767.1200000000003</v>
      </c>
      <c r="O19" s="2">
        <f t="shared" si="7"/>
        <v>173.6</v>
      </c>
      <c r="P19" s="2">
        <f t="shared" si="8"/>
        <v>173.6</v>
      </c>
      <c r="Q19" s="2">
        <f t="shared" si="9"/>
        <v>4340</v>
      </c>
      <c r="R19" s="2">
        <f t="shared" si="10"/>
        <v>86.8</v>
      </c>
      <c r="S19" s="2">
        <f t="shared" si="11"/>
        <v>52.079999999999991</v>
      </c>
      <c r="T19" s="2">
        <f t="shared" si="12"/>
        <v>0.52079999999999993</v>
      </c>
      <c r="U19" s="2">
        <f t="shared" si="13"/>
        <v>0.41663999999999995</v>
      </c>
      <c r="V19" s="2"/>
      <c r="W19" s="2"/>
    </row>
    <row r="20" spans="1:23" x14ac:dyDescent="0.2">
      <c r="B20" s="2">
        <v>18</v>
      </c>
      <c r="C20" s="2">
        <f>D20*战力关系!$B$2+E20*战力关系!$B$3+F20*战力关系!$B$4+G20*战力关系!$B$5+H20*战力关系!$B$6+I20*战力关系!$B$7+J20*战力关系!$B$8</f>
        <v>2842.7</v>
      </c>
      <c r="D20" s="2">
        <v>131</v>
      </c>
      <c r="E20" s="2">
        <f t="shared" si="1"/>
        <v>131</v>
      </c>
      <c r="F20" s="2">
        <f t="shared" si="15"/>
        <v>3275</v>
      </c>
      <c r="G20" s="2">
        <f t="shared" si="16"/>
        <v>65.5</v>
      </c>
      <c r="H20" s="2">
        <f t="shared" si="17"/>
        <v>39.299999999999997</v>
      </c>
      <c r="I20" s="2">
        <f t="shared" si="18"/>
        <v>0.39300000000000002</v>
      </c>
      <c r="J20" s="2">
        <f t="shared" si="19"/>
        <v>0.31439999999999996</v>
      </c>
      <c r="K20" s="2"/>
      <c r="L20" s="2"/>
      <c r="M20" s="2">
        <v>1.4</v>
      </c>
      <c r="N20" s="2">
        <f>O20*战力关系!$B$2+P20*战力关系!$B$3+Q20*战力关系!$B$4+R20*战力关系!$B$5+S20*战力关系!$B$6+T20*战力关系!$B$7+U20*战力关系!$B$8</f>
        <v>3979.7799999999997</v>
      </c>
      <c r="O20" s="2">
        <f t="shared" si="7"/>
        <v>183.39999999999998</v>
      </c>
      <c r="P20" s="2">
        <f t="shared" si="8"/>
        <v>183.39999999999998</v>
      </c>
      <c r="Q20" s="2">
        <f t="shared" si="9"/>
        <v>4585</v>
      </c>
      <c r="R20" s="2">
        <f t="shared" si="10"/>
        <v>91.699999999999989</v>
      </c>
      <c r="S20" s="2">
        <f t="shared" si="11"/>
        <v>55.019999999999996</v>
      </c>
      <c r="T20" s="2">
        <f t="shared" si="12"/>
        <v>0.55020000000000002</v>
      </c>
      <c r="U20" s="2">
        <f t="shared" si="13"/>
        <v>0.44015999999999988</v>
      </c>
      <c r="V20" s="2"/>
      <c r="W20" s="2"/>
    </row>
    <row r="21" spans="1:23" x14ac:dyDescent="0.2">
      <c r="B21" s="2">
        <v>19</v>
      </c>
      <c r="C21" s="2">
        <f>D21*战力关系!$B$2+E21*战力关系!$B$3+F21*战力关系!$B$4+G21*战力关系!$B$5+H21*战力关系!$B$6+I21*战力关系!$B$7+J21*战力关系!$B$8</f>
        <v>2994.6</v>
      </c>
      <c r="D21" s="2">
        <v>138</v>
      </c>
      <c r="E21" s="2">
        <f t="shared" si="1"/>
        <v>138</v>
      </c>
      <c r="F21" s="2">
        <f t="shared" si="15"/>
        <v>3450</v>
      </c>
      <c r="G21" s="2">
        <f t="shared" si="16"/>
        <v>69</v>
      </c>
      <c r="H21" s="2">
        <f t="shared" si="17"/>
        <v>41.4</v>
      </c>
      <c r="I21" s="2">
        <f t="shared" si="18"/>
        <v>0.41400000000000003</v>
      </c>
      <c r="J21" s="2">
        <f t="shared" si="19"/>
        <v>0.33119999999999999</v>
      </c>
      <c r="K21" s="2"/>
      <c r="L21" s="2"/>
      <c r="M21" s="2">
        <v>1.4</v>
      </c>
      <c r="N21" s="2">
        <f>O21*战力关系!$B$2+P21*战力关系!$B$3+Q21*战力关系!$B$4+R21*战力关系!$B$5+S21*战力关系!$B$6+T21*战力关系!$B$7+U21*战力关系!$B$8</f>
        <v>4192.4400000000005</v>
      </c>
      <c r="O21" s="2">
        <f t="shared" si="7"/>
        <v>193.2</v>
      </c>
      <c r="P21" s="2">
        <f t="shared" si="8"/>
        <v>193.2</v>
      </c>
      <c r="Q21" s="2">
        <f t="shared" si="9"/>
        <v>4830</v>
      </c>
      <c r="R21" s="2">
        <f t="shared" si="10"/>
        <v>96.6</v>
      </c>
      <c r="S21" s="2">
        <f t="shared" si="11"/>
        <v>57.959999999999994</v>
      </c>
      <c r="T21" s="2">
        <f t="shared" si="12"/>
        <v>0.5796</v>
      </c>
      <c r="U21" s="2">
        <f t="shared" si="13"/>
        <v>0.46367999999999998</v>
      </c>
      <c r="V21" s="2"/>
      <c r="W21" s="2"/>
    </row>
    <row r="22" spans="1:23" x14ac:dyDescent="0.2">
      <c r="A22" t="s">
        <v>15</v>
      </c>
      <c r="B22" s="2">
        <v>20</v>
      </c>
      <c r="C22" s="2">
        <f>D22*战力关系!$B$2+E22*战力关系!$B$3+F22*战力关系!$B$4+G22*战力关系!$B$5+H22*战力关系!$B$6+I22*战力关系!$B$7+J22*战力关系!$B$8</f>
        <v>3542.7</v>
      </c>
      <c r="D22" s="2">
        <v>147</v>
      </c>
      <c r="E22" s="2">
        <f t="shared" si="1"/>
        <v>147</v>
      </c>
      <c r="F22" s="2">
        <f t="shared" si="15"/>
        <v>3675</v>
      </c>
      <c r="G22" s="2">
        <f>D22*0.7</f>
        <v>102.89999999999999</v>
      </c>
      <c r="H22" s="2">
        <f>D22*0.4</f>
        <v>58.800000000000004</v>
      </c>
      <c r="I22" s="2">
        <f t="shared" ref="I22:I42" si="20">D22*0.004</f>
        <v>0.58799999999999997</v>
      </c>
      <c r="J22" s="2">
        <f>D22*0.0032</f>
        <v>0.47040000000000004</v>
      </c>
      <c r="K22" s="2"/>
      <c r="L22" s="2"/>
      <c r="M22" s="2">
        <v>1.4</v>
      </c>
      <c r="N22" s="2">
        <f>O22*战力关系!$B$2+P22*战力关系!$B$3+Q22*战力关系!$B$4+R22*战力关系!$B$5+S22*战力关系!$B$6+T22*战力关系!$B$7+U22*战力关系!$B$8</f>
        <v>4959.78</v>
      </c>
      <c r="O22" s="2">
        <f t="shared" si="7"/>
        <v>205.79999999999998</v>
      </c>
      <c r="P22" s="2">
        <f t="shared" si="8"/>
        <v>205.79999999999998</v>
      </c>
      <c r="Q22" s="2">
        <f t="shared" si="9"/>
        <v>5145</v>
      </c>
      <c r="R22" s="2">
        <f t="shared" si="10"/>
        <v>144.05999999999997</v>
      </c>
      <c r="S22" s="2">
        <f t="shared" si="11"/>
        <v>82.320000000000007</v>
      </c>
      <c r="T22" s="2">
        <f t="shared" si="12"/>
        <v>0.82319999999999993</v>
      </c>
      <c r="U22" s="2">
        <f t="shared" si="13"/>
        <v>0.65856000000000003</v>
      </c>
      <c r="V22" s="2"/>
      <c r="W22" s="2"/>
    </row>
    <row r="23" spans="1:23" x14ac:dyDescent="0.2">
      <c r="B23" s="2">
        <v>21</v>
      </c>
      <c r="C23" s="2">
        <f>D23*战力关系!$B$2+E23*战力关系!$B$3+F23*战力关系!$B$4+G23*战力关系!$B$5+H23*战力关系!$B$6+I23*战力关系!$B$7+J23*战力关系!$B$8</f>
        <v>3711.4</v>
      </c>
      <c r="D23" s="2">
        <v>154</v>
      </c>
      <c r="E23" s="2">
        <f t="shared" si="1"/>
        <v>154</v>
      </c>
      <c r="F23" s="2">
        <f t="shared" si="15"/>
        <v>3850</v>
      </c>
      <c r="G23" s="2">
        <f t="shared" ref="G23:G42" si="21">D23*0.7</f>
        <v>107.8</v>
      </c>
      <c r="H23" s="2">
        <f>D23*0.4</f>
        <v>61.6</v>
      </c>
      <c r="I23" s="2">
        <f t="shared" si="20"/>
        <v>0.61599999999999999</v>
      </c>
      <c r="J23" s="2">
        <f t="shared" ref="J23:J42" si="22">D23*0.0032</f>
        <v>0.49280000000000002</v>
      </c>
      <c r="K23" s="2"/>
      <c r="L23" s="2"/>
      <c r="M23" s="2">
        <v>1.5</v>
      </c>
      <c r="N23" s="2">
        <f>O23*战力关系!$B$2+P23*战力关系!$B$3+Q23*战力关系!$B$4+R23*战力关系!$B$5+S23*战力关系!$B$6+T23*战力关系!$B$7+U23*战力关系!$B$8</f>
        <v>5567.1</v>
      </c>
      <c r="O23" s="2">
        <f t="shared" si="7"/>
        <v>231</v>
      </c>
      <c r="P23" s="2">
        <f t="shared" si="8"/>
        <v>231</v>
      </c>
      <c r="Q23" s="2">
        <f t="shared" si="9"/>
        <v>5775</v>
      </c>
      <c r="R23" s="2">
        <f t="shared" si="10"/>
        <v>161.69999999999999</v>
      </c>
      <c r="S23" s="2">
        <f t="shared" si="11"/>
        <v>92.4</v>
      </c>
      <c r="T23" s="2">
        <f t="shared" si="12"/>
        <v>0.92399999999999993</v>
      </c>
      <c r="U23" s="2">
        <f t="shared" si="13"/>
        <v>0.73920000000000008</v>
      </c>
      <c r="V23" s="2"/>
      <c r="W23" s="2"/>
    </row>
    <row r="24" spans="1:23" x14ac:dyDescent="0.2">
      <c r="B24" s="2">
        <v>22</v>
      </c>
      <c r="C24" s="2">
        <f>D24*战力关系!$B$2+E24*战力关系!$B$3+F24*战力关系!$B$4+G24*战力关系!$B$5+H24*战力关系!$B$6+I24*战力关系!$B$7+J24*战力关系!$B$8</f>
        <v>3880.1</v>
      </c>
      <c r="D24" s="2">
        <v>161</v>
      </c>
      <c r="E24" s="2">
        <f t="shared" si="1"/>
        <v>161</v>
      </c>
      <c r="F24" s="2">
        <f t="shared" si="15"/>
        <v>4025</v>
      </c>
      <c r="G24" s="2">
        <f t="shared" si="21"/>
        <v>112.69999999999999</v>
      </c>
      <c r="H24" s="2">
        <f t="shared" ref="H24:H42" si="23">D24*0.4</f>
        <v>64.400000000000006</v>
      </c>
      <c r="I24" s="2">
        <f t="shared" si="20"/>
        <v>0.64400000000000002</v>
      </c>
      <c r="J24" s="2">
        <f t="shared" si="22"/>
        <v>0.51519999999999999</v>
      </c>
      <c r="K24" s="2"/>
      <c r="L24" s="2"/>
      <c r="M24" s="2">
        <v>1.5</v>
      </c>
      <c r="N24" s="2">
        <f>O24*战力关系!$B$2+P24*战力关系!$B$3+Q24*战力关系!$B$4+R24*战力关系!$B$5+S24*战力关系!$B$6+T24*战力关系!$B$7+U24*战力关系!$B$8</f>
        <v>5820.15</v>
      </c>
      <c r="O24" s="2">
        <f t="shared" si="7"/>
        <v>241.5</v>
      </c>
      <c r="P24" s="2">
        <f t="shared" si="8"/>
        <v>241.5</v>
      </c>
      <c r="Q24" s="2">
        <f t="shared" si="9"/>
        <v>6037.5</v>
      </c>
      <c r="R24" s="2">
        <f t="shared" si="10"/>
        <v>169.04999999999998</v>
      </c>
      <c r="S24" s="2">
        <f t="shared" si="11"/>
        <v>96.600000000000009</v>
      </c>
      <c r="T24" s="2">
        <f t="shared" si="12"/>
        <v>0.96599999999999997</v>
      </c>
      <c r="U24" s="2">
        <f t="shared" si="13"/>
        <v>0.77279999999999993</v>
      </c>
      <c r="V24" s="2"/>
      <c r="W24" s="2"/>
    </row>
    <row r="25" spans="1:23" x14ac:dyDescent="0.2">
      <c r="B25" s="2">
        <v>23</v>
      </c>
      <c r="C25" s="2">
        <f>D25*战力关系!$B$2+E25*战力关系!$B$3+F25*战力关系!$B$4+G25*战力关系!$B$5+H25*战力关系!$B$6+I25*战力关系!$B$7+J25*战力关系!$B$8</f>
        <v>4048.8</v>
      </c>
      <c r="D25" s="2">
        <v>168</v>
      </c>
      <c r="E25" s="2">
        <f t="shared" si="1"/>
        <v>168</v>
      </c>
      <c r="F25" s="2">
        <f t="shared" si="15"/>
        <v>4200</v>
      </c>
      <c r="G25" s="2">
        <f t="shared" si="21"/>
        <v>117.6</v>
      </c>
      <c r="H25" s="2">
        <f t="shared" si="23"/>
        <v>67.2</v>
      </c>
      <c r="I25" s="2">
        <f t="shared" si="20"/>
        <v>0.67200000000000004</v>
      </c>
      <c r="J25" s="2">
        <f t="shared" si="22"/>
        <v>0.53760000000000008</v>
      </c>
      <c r="K25" s="2"/>
      <c r="L25" s="2"/>
      <c r="M25" s="2">
        <v>1.5</v>
      </c>
      <c r="N25" s="2">
        <f>O25*战力关系!$B$2+P25*战力关系!$B$3+Q25*战力关系!$B$4+R25*战力关系!$B$5+S25*战力关系!$B$6+T25*战力关系!$B$7+U25*战力关系!$B$8</f>
        <v>6073.2</v>
      </c>
      <c r="O25" s="2">
        <f t="shared" si="7"/>
        <v>252</v>
      </c>
      <c r="P25" s="2">
        <f t="shared" si="8"/>
        <v>252</v>
      </c>
      <c r="Q25" s="2">
        <f t="shared" si="9"/>
        <v>6300</v>
      </c>
      <c r="R25" s="2">
        <f t="shared" si="10"/>
        <v>176.39999999999998</v>
      </c>
      <c r="S25" s="2">
        <f t="shared" si="11"/>
        <v>100.80000000000001</v>
      </c>
      <c r="T25" s="2">
        <f t="shared" si="12"/>
        <v>1.008</v>
      </c>
      <c r="U25" s="2">
        <f t="shared" si="13"/>
        <v>0.80640000000000012</v>
      </c>
      <c r="V25" s="2"/>
      <c r="W25" s="2"/>
    </row>
    <row r="26" spans="1:23" x14ac:dyDescent="0.2">
      <c r="B26" s="2">
        <v>24</v>
      </c>
      <c r="C26" s="2">
        <f>D26*战力关系!$B$2+E26*战力关系!$B$3+F26*战力关系!$B$4+G26*战力关系!$B$5+H26*战力关系!$B$6+I26*战力关系!$B$7+J26*战力关系!$B$8</f>
        <v>4217.5</v>
      </c>
      <c r="D26" s="2">
        <v>175</v>
      </c>
      <c r="E26" s="2">
        <f t="shared" si="1"/>
        <v>175</v>
      </c>
      <c r="F26" s="2">
        <f t="shared" si="15"/>
        <v>4375</v>
      </c>
      <c r="G26" s="2">
        <f t="shared" si="21"/>
        <v>122.49999999999999</v>
      </c>
      <c r="H26" s="2">
        <f t="shared" si="23"/>
        <v>70</v>
      </c>
      <c r="I26" s="2">
        <f t="shared" si="20"/>
        <v>0.70000000000000007</v>
      </c>
      <c r="J26" s="2">
        <f t="shared" si="22"/>
        <v>0.56000000000000005</v>
      </c>
      <c r="K26" s="2"/>
      <c r="L26" s="2"/>
      <c r="M26" s="2">
        <v>1.5</v>
      </c>
      <c r="N26" s="2">
        <f>O26*战力关系!$B$2+P26*战力关系!$B$3+Q26*战力关系!$B$4+R26*战力关系!$B$5+S26*战力关系!$B$6+T26*战力关系!$B$7+U26*战力关系!$B$8</f>
        <v>6326.25</v>
      </c>
      <c r="O26" s="2">
        <f t="shared" si="7"/>
        <v>262.5</v>
      </c>
      <c r="P26" s="2">
        <f t="shared" si="8"/>
        <v>262.5</v>
      </c>
      <c r="Q26" s="2">
        <f t="shared" si="9"/>
        <v>6562.5</v>
      </c>
      <c r="R26" s="2">
        <f t="shared" si="10"/>
        <v>183.74999999999997</v>
      </c>
      <c r="S26" s="2">
        <f t="shared" si="11"/>
        <v>105</v>
      </c>
      <c r="T26" s="2">
        <f t="shared" si="12"/>
        <v>1.05</v>
      </c>
      <c r="U26" s="2">
        <f t="shared" si="13"/>
        <v>0.84000000000000008</v>
      </c>
      <c r="V26" s="2"/>
      <c r="W26" s="2"/>
    </row>
    <row r="27" spans="1:23" x14ac:dyDescent="0.2">
      <c r="B27" s="2">
        <v>25</v>
      </c>
      <c r="C27" s="2">
        <f>D27*战力关系!$B$2+E27*战力关系!$B$3+F27*战力关系!$B$4+G27*战力关系!$B$5+H27*战力关系!$B$6+I27*战力关系!$B$7+J27*战力关系!$B$8</f>
        <v>4386.2</v>
      </c>
      <c r="D27" s="2">
        <v>182</v>
      </c>
      <c r="E27" s="2">
        <f t="shared" si="1"/>
        <v>182</v>
      </c>
      <c r="F27" s="2">
        <f t="shared" si="15"/>
        <v>4550</v>
      </c>
      <c r="G27" s="2">
        <f t="shared" si="21"/>
        <v>127.39999999999999</v>
      </c>
      <c r="H27" s="2">
        <f t="shared" si="23"/>
        <v>72.8</v>
      </c>
      <c r="I27" s="2">
        <f t="shared" si="20"/>
        <v>0.72799999999999998</v>
      </c>
      <c r="J27" s="2">
        <f t="shared" si="22"/>
        <v>0.58240000000000003</v>
      </c>
      <c r="K27" s="2"/>
      <c r="L27" s="2"/>
      <c r="M27" s="2">
        <v>1.5</v>
      </c>
      <c r="N27" s="2">
        <f>O27*战力关系!$B$2+P27*战力关系!$B$3+Q27*战力关系!$B$4+R27*战力关系!$B$5+S27*战力关系!$B$6+T27*战力关系!$B$7+U27*战力关系!$B$8</f>
        <v>6579.3</v>
      </c>
      <c r="O27" s="2">
        <f t="shared" si="7"/>
        <v>273</v>
      </c>
      <c r="P27" s="2">
        <f t="shared" si="8"/>
        <v>273</v>
      </c>
      <c r="Q27" s="2">
        <f t="shared" si="9"/>
        <v>6825</v>
      </c>
      <c r="R27" s="2">
        <f t="shared" si="10"/>
        <v>191.1</v>
      </c>
      <c r="S27" s="2">
        <f t="shared" si="11"/>
        <v>109.19999999999999</v>
      </c>
      <c r="T27" s="2">
        <f t="shared" si="12"/>
        <v>1.0920000000000001</v>
      </c>
      <c r="U27" s="2">
        <f t="shared" si="13"/>
        <v>0.87360000000000004</v>
      </c>
      <c r="V27" s="2"/>
      <c r="W27" s="2"/>
    </row>
    <row r="28" spans="1:23" x14ac:dyDescent="0.2">
      <c r="A28" t="s">
        <v>17</v>
      </c>
      <c r="B28" s="2">
        <v>26</v>
      </c>
      <c r="C28" s="2">
        <f>D28*战力关系!$B$2+E28*战力关系!$B$3+F28*战力关系!$B$4+G28*战力关系!$B$5+H28*战力关系!$B$6+I28*战力关系!$B$7+J28*战力关系!$B$8</f>
        <v>4554.8999999999996</v>
      </c>
      <c r="D28" s="2">
        <v>189</v>
      </c>
      <c r="E28" s="2">
        <f t="shared" si="1"/>
        <v>189</v>
      </c>
      <c r="F28" s="2">
        <f t="shared" si="15"/>
        <v>4725</v>
      </c>
      <c r="G28" s="2">
        <f t="shared" si="21"/>
        <v>132.29999999999998</v>
      </c>
      <c r="H28" s="2">
        <f t="shared" si="23"/>
        <v>75.600000000000009</v>
      </c>
      <c r="I28" s="2">
        <f t="shared" si="20"/>
        <v>0.75600000000000001</v>
      </c>
      <c r="J28" s="2">
        <f t="shared" si="22"/>
        <v>0.6048</v>
      </c>
      <c r="K28" s="2"/>
      <c r="L28" s="2"/>
      <c r="M28" s="2">
        <v>1.6</v>
      </c>
      <c r="N28" s="2">
        <f>O28*战力关系!$B$2+P28*战力关系!$B$3+Q28*战力关系!$B$4+R28*战力关系!$B$5+S28*战力关系!$B$6+T28*战力关系!$B$7+U28*战力关系!$B$8</f>
        <v>7287.84</v>
      </c>
      <c r="O28" s="2">
        <f t="shared" si="7"/>
        <v>302.40000000000003</v>
      </c>
      <c r="P28" s="2">
        <f t="shared" si="8"/>
        <v>302.40000000000003</v>
      </c>
      <c r="Q28" s="2">
        <f t="shared" si="9"/>
        <v>7560</v>
      </c>
      <c r="R28" s="2">
        <f t="shared" si="10"/>
        <v>211.67999999999998</v>
      </c>
      <c r="S28" s="2">
        <f t="shared" si="11"/>
        <v>120.96000000000002</v>
      </c>
      <c r="T28" s="2">
        <f t="shared" si="12"/>
        <v>1.2096</v>
      </c>
      <c r="U28" s="2">
        <f t="shared" si="13"/>
        <v>0.9676800000000001</v>
      </c>
      <c r="V28" s="2"/>
      <c r="W28" s="2"/>
    </row>
    <row r="29" spans="1:23" x14ac:dyDescent="0.2">
      <c r="B29" s="2">
        <v>27</v>
      </c>
      <c r="C29" s="2">
        <f>D29*战力关系!$B$2+E29*战力关系!$B$3+F29*战力关系!$B$4+G29*战力关系!$B$5+H29*战力关系!$B$6+I29*战力关系!$B$7+J29*战力关系!$B$8</f>
        <v>4699.5</v>
      </c>
      <c r="D29" s="2">
        <v>195</v>
      </c>
      <c r="E29" s="2">
        <f t="shared" si="1"/>
        <v>195</v>
      </c>
      <c r="F29" s="2">
        <f t="shared" si="15"/>
        <v>4875</v>
      </c>
      <c r="G29" s="2">
        <f t="shared" si="21"/>
        <v>136.5</v>
      </c>
      <c r="H29" s="2">
        <f t="shared" si="23"/>
        <v>78</v>
      </c>
      <c r="I29" s="2">
        <f t="shared" si="20"/>
        <v>0.78</v>
      </c>
      <c r="J29" s="2">
        <f t="shared" si="22"/>
        <v>0.624</v>
      </c>
      <c r="K29" s="2"/>
      <c r="L29" s="2"/>
      <c r="M29" s="2">
        <v>1.6</v>
      </c>
      <c r="N29" s="2">
        <f>O29*战力关系!$B$2+P29*战力关系!$B$3+Q29*战力关系!$B$4+R29*战力关系!$B$5+S29*战力关系!$B$6+T29*战力关系!$B$7+U29*战力关系!$B$8</f>
        <v>7519.2</v>
      </c>
      <c r="O29" s="2">
        <f t="shared" si="7"/>
        <v>312</v>
      </c>
      <c r="P29" s="2">
        <f t="shared" si="8"/>
        <v>312</v>
      </c>
      <c r="Q29" s="2">
        <f t="shared" si="9"/>
        <v>7800</v>
      </c>
      <c r="R29" s="2">
        <f t="shared" si="10"/>
        <v>218.4</v>
      </c>
      <c r="S29" s="2">
        <f t="shared" si="11"/>
        <v>124.80000000000001</v>
      </c>
      <c r="T29" s="2">
        <f t="shared" si="12"/>
        <v>1.2480000000000002</v>
      </c>
      <c r="U29" s="2">
        <f t="shared" si="13"/>
        <v>0.99840000000000007</v>
      </c>
      <c r="V29" s="2"/>
      <c r="W29" s="2"/>
    </row>
    <row r="30" spans="1:23" x14ac:dyDescent="0.2">
      <c r="B30" s="2">
        <v>28</v>
      </c>
      <c r="C30" s="2">
        <f>D30*战力关系!$B$2+E30*战力关系!$B$3+F30*战力关系!$B$4+G30*战力关系!$B$5+H30*战力关系!$B$6+I30*战力关系!$B$7+J30*战力关系!$B$8</f>
        <v>4844.1000000000004</v>
      </c>
      <c r="D30" s="2">
        <v>201</v>
      </c>
      <c r="E30" s="2">
        <f t="shared" si="1"/>
        <v>201</v>
      </c>
      <c r="F30" s="2">
        <f t="shared" si="15"/>
        <v>5025</v>
      </c>
      <c r="G30" s="2">
        <f t="shared" si="21"/>
        <v>140.69999999999999</v>
      </c>
      <c r="H30" s="2">
        <f t="shared" si="23"/>
        <v>80.400000000000006</v>
      </c>
      <c r="I30" s="2">
        <f t="shared" si="20"/>
        <v>0.80400000000000005</v>
      </c>
      <c r="J30" s="2">
        <f t="shared" si="22"/>
        <v>0.64319999999999999</v>
      </c>
      <c r="K30" s="2"/>
      <c r="L30" s="2"/>
      <c r="M30" s="2">
        <v>1.6</v>
      </c>
      <c r="N30" s="2">
        <f>O30*战力关系!$B$2+P30*战力关系!$B$3+Q30*战力关系!$B$4+R30*战力关系!$B$5+S30*战力关系!$B$6+T30*战力关系!$B$7+U30*战力关系!$B$8</f>
        <v>7750.56</v>
      </c>
      <c r="O30" s="2">
        <f t="shared" si="7"/>
        <v>321.60000000000002</v>
      </c>
      <c r="P30" s="2">
        <f t="shared" si="8"/>
        <v>321.60000000000002</v>
      </c>
      <c r="Q30" s="2">
        <f t="shared" si="9"/>
        <v>8040</v>
      </c>
      <c r="R30" s="2">
        <f t="shared" si="10"/>
        <v>225.12</v>
      </c>
      <c r="S30" s="2">
        <f t="shared" si="11"/>
        <v>128.64000000000001</v>
      </c>
      <c r="T30" s="2">
        <f t="shared" si="12"/>
        <v>1.2864000000000002</v>
      </c>
      <c r="U30" s="2">
        <f t="shared" si="13"/>
        <v>1.02912</v>
      </c>
      <c r="V30" s="2"/>
      <c r="W30" s="2"/>
    </row>
    <row r="31" spans="1:23" x14ac:dyDescent="0.2">
      <c r="B31" s="2">
        <v>29</v>
      </c>
      <c r="C31" s="2">
        <f>D31*战力关系!$B$2+E31*战力关系!$B$3+F31*战力关系!$B$4+G31*战力关系!$B$5+H31*战力关系!$B$6+I31*战力关系!$B$7+J31*战力关系!$B$8</f>
        <v>4988.7</v>
      </c>
      <c r="D31" s="2">
        <v>207</v>
      </c>
      <c r="E31" s="2">
        <f t="shared" si="1"/>
        <v>207</v>
      </c>
      <c r="F31" s="2">
        <f t="shared" si="15"/>
        <v>5175</v>
      </c>
      <c r="G31" s="2">
        <f t="shared" si="21"/>
        <v>144.89999999999998</v>
      </c>
      <c r="H31" s="2">
        <f t="shared" si="23"/>
        <v>82.800000000000011</v>
      </c>
      <c r="I31" s="2">
        <f t="shared" si="20"/>
        <v>0.82800000000000007</v>
      </c>
      <c r="J31" s="2">
        <f t="shared" si="22"/>
        <v>0.66239999999999999</v>
      </c>
      <c r="K31" s="2"/>
      <c r="L31" s="2"/>
      <c r="M31" s="2">
        <v>1.6</v>
      </c>
      <c r="N31" s="2">
        <f>O31*战力关系!$B$2+P31*战力关系!$B$3+Q31*战力关系!$B$4+R31*战力关系!$B$5+S31*战力关系!$B$6+T31*战力关系!$B$7+U31*战力关系!$B$8</f>
        <v>7981.92</v>
      </c>
      <c r="O31" s="2">
        <f t="shared" si="7"/>
        <v>331.20000000000005</v>
      </c>
      <c r="P31" s="2">
        <f t="shared" si="8"/>
        <v>331.20000000000005</v>
      </c>
      <c r="Q31" s="2">
        <f t="shared" si="9"/>
        <v>8280</v>
      </c>
      <c r="R31" s="2">
        <f t="shared" si="10"/>
        <v>231.83999999999997</v>
      </c>
      <c r="S31" s="2">
        <f t="shared" si="11"/>
        <v>132.48000000000002</v>
      </c>
      <c r="T31" s="2">
        <f t="shared" si="12"/>
        <v>1.3248000000000002</v>
      </c>
      <c r="U31" s="2">
        <f t="shared" si="13"/>
        <v>1.0598400000000001</v>
      </c>
      <c r="V31" s="2"/>
      <c r="W31" s="2"/>
    </row>
    <row r="32" spans="1:23" x14ac:dyDescent="0.2">
      <c r="B32" s="2">
        <v>30</v>
      </c>
      <c r="C32" s="2">
        <f>D32*战力关系!$B$2+E32*战力关系!$B$3+F32*战力关系!$B$4+G32*战力关系!$B$5+H32*战力关系!$B$6+I32*战力关系!$B$7+J32*战力关系!$B$8</f>
        <v>5133.3</v>
      </c>
      <c r="D32" s="2">
        <v>213</v>
      </c>
      <c r="E32" s="2">
        <f t="shared" si="1"/>
        <v>213</v>
      </c>
      <c r="F32" s="2">
        <f t="shared" si="15"/>
        <v>5325</v>
      </c>
      <c r="G32" s="2">
        <f t="shared" si="21"/>
        <v>149.1</v>
      </c>
      <c r="H32" s="2">
        <f t="shared" si="23"/>
        <v>85.2</v>
      </c>
      <c r="I32" s="2">
        <f t="shared" si="20"/>
        <v>0.85199999999999998</v>
      </c>
      <c r="J32" s="2">
        <f t="shared" si="22"/>
        <v>0.68159999999999998</v>
      </c>
      <c r="K32" s="2"/>
      <c r="L32" s="2"/>
      <c r="M32" s="2">
        <v>1.6</v>
      </c>
      <c r="N32" s="2">
        <f>O32*战力关系!$B$2+P32*战力关系!$B$3+Q32*战力关系!$B$4+R32*战力关系!$B$5+S32*战力关系!$B$6+T32*战力关系!$B$7+U32*战力关系!$B$8</f>
        <v>8213.2800000000007</v>
      </c>
      <c r="O32" s="2">
        <f t="shared" si="7"/>
        <v>340.8</v>
      </c>
      <c r="P32" s="2">
        <f t="shared" si="8"/>
        <v>340.8</v>
      </c>
      <c r="Q32" s="2">
        <f t="shared" si="9"/>
        <v>8520</v>
      </c>
      <c r="R32" s="2">
        <f t="shared" si="10"/>
        <v>238.56</v>
      </c>
      <c r="S32" s="2">
        <f t="shared" si="11"/>
        <v>136.32000000000002</v>
      </c>
      <c r="T32" s="2">
        <f t="shared" si="12"/>
        <v>1.3632</v>
      </c>
      <c r="U32" s="2">
        <f t="shared" si="13"/>
        <v>1.09056</v>
      </c>
      <c r="V32" s="2"/>
      <c r="W32" s="2"/>
    </row>
    <row r="33" spans="2:23" x14ac:dyDescent="0.2">
      <c r="B33" s="2">
        <v>31</v>
      </c>
      <c r="C33" s="2">
        <f>D33*战力关系!$B$2+E33*战力关系!$B$3+F33*战力关系!$B$4+G33*战力关系!$B$5+H33*战力关系!$B$6+I33*战力关系!$B$7+J33*战力关系!$B$8</f>
        <v>5277.9</v>
      </c>
      <c r="D33" s="2">
        <v>219</v>
      </c>
      <c r="E33" s="2">
        <f t="shared" si="1"/>
        <v>219</v>
      </c>
      <c r="F33" s="2">
        <f t="shared" si="15"/>
        <v>5475</v>
      </c>
      <c r="G33" s="2">
        <f t="shared" si="21"/>
        <v>153.29999999999998</v>
      </c>
      <c r="H33" s="2">
        <f t="shared" si="23"/>
        <v>87.600000000000009</v>
      </c>
      <c r="I33" s="2">
        <f t="shared" si="20"/>
        <v>0.876</v>
      </c>
      <c r="J33" s="2">
        <f t="shared" si="22"/>
        <v>0.70079999999999998</v>
      </c>
      <c r="K33" s="2"/>
      <c r="L33" s="2"/>
      <c r="M33" s="2">
        <v>1.6</v>
      </c>
      <c r="N33" s="2">
        <f>O33*战力关系!$B$2+P33*战力关系!$B$3+Q33*战力关系!$B$4+R33*战力关系!$B$5+S33*战力关系!$B$6+T33*战力关系!$B$7+U33*战力关系!$B$8</f>
        <v>8444.64</v>
      </c>
      <c r="O33" s="2">
        <f t="shared" si="7"/>
        <v>350.40000000000003</v>
      </c>
      <c r="P33" s="2">
        <f t="shared" si="8"/>
        <v>350.40000000000003</v>
      </c>
      <c r="Q33" s="2">
        <f t="shared" si="9"/>
        <v>8760</v>
      </c>
      <c r="R33" s="2">
        <f t="shared" si="10"/>
        <v>245.27999999999997</v>
      </c>
      <c r="S33" s="2">
        <f t="shared" si="11"/>
        <v>140.16000000000003</v>
      </c>
      <c r="T33" s="2">
        <f t="shared" si="12"/>
        <v>1.4016000000000002</v>
      </c>
      <c r="U33" s="2">
        <f t="shared" si="13"/>
        <v>1.1212800000000001</v>
      </c>
      <c r="V33" s="2"/>
      <c r="W33" s="2"/>
    </row>
    <row r="34" spans="2:23" x14ac:dyDescent="0.2">
      <c r="B34" s="2">
        <v>32</v>
      </c>
      <c r="C34" s="2">
        <f>D34*战力关系!$B$2+E34*战力关系!$B$3+F34*战力关系!$B$4+G34*战力关系!$B$5+H34*战力关系!$B$6+I34*战力关系!$B$7+J34*战力关系!$B$8</f>
        <v>5422.5</v>
      </c>
      <c r="D34" s="2">
        <v>225</v>
      </c>
      <c r="E34" s="2">
        <f t="shared" si="1"/>
        <v>225</v>
      </c>
      <c r="F34" s="2">
        <f t="shared" si="15"/>
        <v>5625</v>
      </c>
      <c r="G34" s="2">
        <f t="shared" si="21"/>
        <v>157.5</v>
      </c>
      <c r="H34" s="2">
        <f t="shared" si="23"/>
        <v>90</v>
      </c>
      <c r="I34" s="2">
        <f t="shared" si="20"/>
        <v>0.9</v>
      </c>
      <c r="J34" s="2">
        <f t="shared" si="22"/>
        <v>0.72000000000000008</v>
      </c>
      <c r="K34" s="2"/>
      <c r="L34" s="2"/>
      <c r="M34" s="2">
        <v>1.6</v>
      </c>
      <c r="N34" s="2">
        <f>O34*战力关系!$B$2+P34*战力关系!$B$3+Q34*战力关系!$B$4+R34*战力关系!$B$5+S34*战力关系!$B$6+T34*战力关系!$B$7+U34*战力关系!$B$8</f>
        <v>8676</v>
      </c>
      <c r="O34" s="2">
        <f t="shared" si="7"/>
        <v>360</v>
      </c>
      <c r="P34" s="2">
        <f t="shared" si="8"/>
        <v>360</v>
      </c>
      <c r="Q34" s="2">
        <f t="shared" si="9"/>
        <v>9000</v>
      </c>
      <c r="R34" s="2">
        <f t="shared" si="10"/>
        <v>252</v>
      </c>
      <c r="S34" s="2">
        <f t="shared" si="11"/>
        <v>144</v>
      </c>
      <c r="T34" s="2">
        <f t="shared" si="12"/>
        <v>1.4400000000000002</v>
      </c>
      <c r="U34" s="2">
        <f t="shared" si="13"/>
        <v>1.1520000000000001</v>
      </c>
      <c r="V34" s="2"/>
      <c r="W34" s="2"/>
    </row>
    <row r="35" spans="2:23" x14ac:dyDescent="0.2">
      <c r="B35" s="2">
        <v>33</v>
      </c>
      <c r="C35" s="2">
        <f>D35*战力关系!$B$2+E35*战力关系!$B$3+F35*战力关系!$B$4+G35*战力关系!$B$5+H35*战力关系!$B$6+I35*战力关系!$B$7+J35*战力关系!$B$8</f>
        <v>5543</v>
      </c>
      <c r="D35" s="2">
        <v>230</v>
      </c>
      <c r="E35" s="2">
        <f t="shared" si="1"/>
        <v>230</v>
      </c>
      <c r="F35" s="2">
        <f t="shared" si="15"/>
        <v>5750</v>
      </c>
      <c r="G35" s="2">
        <f t="shared" si="21"/>
        <v>161</v>
      </c>
      <c r="H35" s="2">
        <f t="shared" si="23"/>
        <v>92</v>
      </c>
      <c r="I35" s="2">
        <f t="shared" si="20"/>
        <v>0.92</v>
      </c>
      <c r="J35" s="2">
        <f t="shared" si="22"/>
        <v>0.73599999999999999</v>
      </c>
      <c r="K35" s="2"/>
      <c r="L35" s="2"/>
      <c r="M35" s="2">
        <v>1.6</v>
      </c>
      <c r="N35" s="2">
        <f>O35*战力关系!$B$2+P35*战力关系!$B$3+Q35*战力关系!$B$4+R35*战力关系!$B$5+S35*战力关系!$B$6+T35*战力关系!$B$7+U35*战力关系!$B$8</f>
        <v>8868.7999999999993</v>
      </c>
      <c r="O35" s="2">
        <f t="shared" si="7"/>
        <v>368</v>
      </c>
      <c r="P35" s="2">
        <f t="shared" si="8"/>
        <v>368</v>
      </c>
      <c r="Q35" s="2">
        <f t="shared" si="9"/>
        <v>9200</v>
      </c>
      <c r="R35" s="2">
        <f t="shared" si="10"/>
        <v>257.60000000000002</v>
      </c>
      <c r="S35" s="2">
        <f t="shared" si="11"/>
        <v>147.20000000000002</v>
      </c>
      <c r="T35" s="2">
        <f t="shared" si="12"/>
        <v>1.4720000000000002</v>
      </c>
      <c r="U35" s="2">
        <f t="shared" si="13"/>
        <v>1.1776</v>
      </c>
      <c r="V35" s="2"/>
      <c r="W35" s="2"/>
    </row>
    <row r="36" spans="2:23" x14ac:dyDescent="0.2">
      <c r="B36" s="2">
        <v>34</v>
      </c>
      <c r="C36" s="2">
        <f>D36*战力关系!$B$2+E36*战力关系!$B$3+F36*战力关系!$B$4+G36*战力关系!$B$5+H36*战力关系!$B$6+I36*战力关系!$B$7+J36*战力关系!$B$8</f>
        <v>5663.5</v>
      </c>
      <c r="D36" s="2">
        <v>235</v>
      </c>
      <c r="E36" s="2">
        <f t="shared" si="1"/>
        <v>235</v>
      </c>
      <c r="F36" s="2">
        <f t="shared" si="15"/>
        <v>5875</v>
      </c>
      <c r="G36" s="2">
        <f t="shared" si="21"/>
        <v>164.5</v>
      </c>
      <c r="H36" s="2">
        <f t="shared" si="23"/>
        <v>94</v>
      </c>
      <c r="I36" s="2">
        <f t="shared" si="20"/>
        <v>0.94000000000000006</v>
      </c>
      <c r="J36" s="2">
        <f t="shared" si="22"/>
        <v>0.752</v>
      </c>
      <c r="K36" s="2"/>
      <c r="L36" s="2"/>
      <c r="M36" s="2">
        <v>1.6</v>
      </c>
      <c r="N36" s="2">
        <f>O36*战力关系!$B$2+P36*战力关系!$B$3+Q36*战力关系!$B$4+R36*战力关系!$B$5+S36*战力关系!$B$6+T36*战力关系!$B$7+U36*战力关系!$B$8</f>
        <v>9061.6</v>
      </c>
      <c r="O36" s="2">
        <f t="shared" si="7"/>
        <v>376</v>
      </c>
      <c r="P36" s="2">
        <f t="shared" si="8"/>
        <v>376</v>
      </c>
      <c r="Q36" s="2">
        <f t="shared" si="9"/>
        <v>9400</v>
      </c>
      <c r="R36" s="2">
        <f t="shared" si="10"/>
        <v>263.2</v>
      </c>
      <c r="S36" s="2">
        <f t="shared" si="11"/>
        <v>150.4</v>
      </c>
      <c r="T36" s="2">
        <f t="shared" si="12"/>
        <v>1.5040000000000002</v>
      </c>
      <c r="U36" s="2">
        <f t="shared" si="13"/>
        <v>1.2032</v>
      </c>
      <c r="V36" s="2"/>
      <c r="W36" s="2"/>
    </row>
    <row r="37" spans="2:23" x14ac:dyDescent="0.2">
      <c r="B37" s="2">
        <v>35</v>
      </c>
      <c r="C37" s="2">
        <f>D37*战力关系!$B$2+E37*战力关系!$B$3+F37*战力关系!$B$4+G37*战力关系!$B$5+H37*战力关系!$B$6+I37*战力关系!$B$7+J37*战力关系!$B$8</f>
        <v>5784</v>
      </c>
      <c r="D37" s="2">
        <v>240</v>
      </c>
      <c r="E37" s="2">
        <f t="shared" si="1"/>
        <v>240</v>
      </c>
      <c r="F37" s="2">
        <f t="shared" si="15"/>
        <v>6000</v>
      </c>
      <c r="G37" s="2">
        <f t="shared" si="21"/>
        <v>168</v>
      </c>
      <c r="H37" s="2">
        <f t="shared" si="23"/>
        <v>96</v>
      </c>
      <c r="I37" s="2">
        <f t="shared" si="20"/>
        <v>0.96</v>
      </c>
      <c r="J37" s="2">
        <f t="shared" si="22"/>
        <v>0.76800000000000002</v>
      </c>
      <c r="K37" s="2"/>
      <c r="L37" s="2"/>
      <c r="M37" s="2">
        <v>1.6</v>
      </c>
      <c r="N37" s="2">
        <f>O37*战力关系!$B$2+P37*战力关系!$B$3+Q37*战力关系!$B$4+R37*战力关系!$B$5+S37*战力关系!$B$6+T37*战力关系!$B$7+U37*战力关系!$B$8</f>
        <v>9254.4</v>
      </c>
      <c r="O37" s="2">
        <f t="shared" si="7"/>
        <v>384</v>
      </c>
      <c r="P37" s="2">
        <f t="shared" si="8"/>
        <v>384</v>
      </c>
      <c r="Q37" s="2">
        <f t="shared" si="9"/>
        <v>9600</v>
      </c>
      <c r="R37" s="2">
        <f t="shared" si="10"/>
        <v>268.8</v>
      </c>
      <c r="S37" s="2">
        <f t="shared" si="11"/>
        <v>153.60000000000002</v>
      </c>
      <c r="T37" s="2">
        <f t="shared" si="12"/>
        <v>1.536</v>
      </c>
      <c r="U37" s="2">
        <f t="shared" si="13"/>
        <v>1.2288000000000001</v>
      </c>
      <c r="V37" s="2"/>
      <c r="W37" s="2"/>
    </row>
    <row r="38" spans="2:23" x14ac:dyDescent="0.2">
      <c r="B38" s="2">
        <v>36</v>
      </c>
      <c r="C38" s="2">
        <f>D38*战力关系!$B$2+E38*战力关系!$B$3+F38*战力关系!$B$4+G38*战力关系!$B$5+H38*战力关系!$B$6+I38*战力关系!$B$7+J38*战力关系!$B$8</f>
        <v>5904.5</v>
      </c>
      <c r="D38" s="2">
        <v>245</v>
      </c>
      <c r="E38" s="2">
        <f t="shared" si="1"/>
        <v>245</v>
      </c>
      <c r="F38" s="2">
        <f t="shared" si="15"/>
        <v>6125</v>
      </c>
      <c r="G38" s="2">
        <f t="shared" si="21"/>
        <v>171.5</v>
      </c>
      <c r="H38" s="2">
        <f t="shared" si="23"/>
        <v>98</v>
      </c>
      <c r="I38" s="2">
        <f t="shared" si="20"/>
        <v>0.98</v>
      </c>
      <c r="J38" s="2">
        <f t="shared" si="22"/>
        <v>0.78400000000000003</v>
      </c>
      <c r="K38" s="2"/>
      <c r="L38" s="2"/>
      <c r="M38" s="2">
        <v>1.7</v>
      </c>
      <c r="N38" s="2">
        <f>O38*战力关系!$B$2+P38*战力关系!$B$3+Q38*战力关系!$B$4+R38*战力关系!$B$5+S38*战力关系!$B$6+T38*战力关系!$B$7+U38*战力关系!$B$8</f>
        <v>10037.65</v>
      </c>
      <c r="O38" s="2">
        <f t="shared" si="7"/>
        <v>416.5</v>
      </c>
      <c r="P38" s="2">
        <f t="shared" si="8"/>
        <v>416.5</v>
      </c>
      <c r="Q38" s="2">
        <f t="shared" si="9"/>
        <v>10412.5</v>
      </c>
      <c r="R38" s="2">
        <f t="shared" si="10"/>
        <v>291.55</v>
      </c>
      <c r="S38" s="2">
        <f t="shared" si="11"/>
        <v>166.6</v>
      </c>
      <c r="T38" s="2">
        <f t="shared" si="12"/>
        <v>1.6659999999999999</v>
      </c>
      <c r="U38" s="2">
        <f t="shared" si="13"/>
        <v>1.3328</v>
      </c>
      <c r="V38" s="2"/>
      <c r="W38" s="2"/>
    </row>
    <row r="39" spans="2:23" x14ac:dyDescent="0.2">
      <c r="B39" s="2">
        <v>37</v>
      </c>
      <c r="C39" s="2">
        <f>D39*战力关系!$B$2+E39*战力关系!$B$3+F39*战力关系!$B$4+G39*战力关系!$B$5+H39*战力关系!$B$6+I39*战力关系!$B$7+J39*战力关系!$B$8</f>
        <v>6025</v>
      </c>
      <c r="D39" s="2">
        <v>250</v>
      </c>
      <c r="E39" s="2">
        <f t="shared" si="1"/>
        <v>250</v>
      </c>
      <c r="F39" s="2">
        <f t="shared" si="15"/>
        <v>6250</v>
      </c>
      <c r="G39" s="2">
        <f t="shared" si="21"/>
        <v>175</v>
      </c>
      <c r="H39" s="2">
        <f t="shared" si="23"/>
        <v>100</v>
      </c>
      <c r="I39" s="2">
        <f t="shared" si="20"/>
        <v>1</v>
      </c>
      <c r="J39" s="2">
        <f t="shared" si="22"/>
        <v>0.8</v>
      </c>
      <c r="K39" s="2"/>
      <c r="L39" s="2"/>
      <c r="M39" s="2">
        <v>1.7</v>
      </c>
      <c r="N39" s="2">
        <f>O39*战力关系!$B$2+P39*战力关系!$B$3+Q39*战力关系!$B$4+R39*战力关系!$B$5+S39*战力关系!$B$6+T39*战力关系!$B$7+U39*战力关系!$B$8</f>
        <v>10242.5</v>
      </c>
      <c r="O39" s="2">
        <f t="shared" si="7"/>
        <v>425</v>
      </c>
      <c r="P39" s="2">
        <f t="shared" si="8"/>
        <v>425</v>
      </c>
      <c r="Q39" s="2">
        <f t="shared" si="9"/>
        <v>10625</v>
      </c>
      <c r="R39" s="2">
        <f t="shared" si="10"/>
        <v>297.5</v>
      </c>
      <c r="S39" s="2">
        <f t="shared" si="11"/>
        <v>170</v>
      </c>
      <c r="T39" s="2">
        <f t="shared" si="12"/>
        <v>1.7</v>
      </c>
      <c r="U39" s="2">
        <f t="shared" si="13"/>
        <v>1.36</v>
      </c>
      <c r="V39" s="2"/>
      <c r="W39" s="2"/>
    </row>
    <row r="40" spans="2:23" x14ac:dyDescent="0.2">
      <c r="B40" s="2">
        <v>38</v>
      </c>
      <c r="C40" s="2">
        <f>D40*战力关系!$B$2+E40*战力关系!$B$3+F40*战力关系!$B$4+G40*战力关系!$B$5+H40*战力关系!$B$6+I40*战力关系!$B$7+J40*战力关系!$B$8</f>
        <v>6145.5</v>
      </c>
      <c r="D40" s="2">
        <v>255</v>
      </c>
      <c r="E40" s="2">
        <f t="shared" si="1"/>
        <v>255</v>
      </c>
      <c r="F40" s="2">
        <f t="shared" si="15"/>
        <v>6375</v>
      </c>
      <c r="G40" s="2">
        <f t="shared" si="21"/>
        <v>178.5</v>
      </c>
      <c r="H40" s="2">
        <f t="shared" si="23"/>
        <v>102</v>
      </c>
      <c r="I40" s="2">
        <f t="shared" si="20"/>
        <v>1.02</v>
      </c>
      <c r="J40" s="2">
        <f t="shared" si="22"/>
        <v>0.81600000000000006</v>
      </c>
      <c r="K40" s="2"/>
      <c r="L40" s="2"/>
      <c r="M40" s="2">
        <v>1.7</v>
      </c>
      <c r="N40" s="2">
        <f>O40*战力关系!$B$2+P40*战力关系!$B$3+Q40*战力关系!$B$4+R40*战力关系!$B$5+S40*战力关系!$B$6+T40*战力关系!$B$7+U40*战力关系!$B$8</f>
        <v>10447.35</v>
      </c>
      <c r="O40" s="2">
        <f t="shared" si="7"/>
        <v>433.5</v>
      </c>
      <c r="P40" s="2">
        <f t="shared" si="8"/>
        <v>433.5</v>
      </c>
      <c r="Q40" s="2">
        <f t="shared" si="9"/>
        <v>10837.5</v>
      </c>
      <c r="R40" s="2">
        <f t="shared" si="10"/>
        <v>303.45</v>
      </c>
      <c r="S40" s="2">
        <f t="shared" si="11"/>
        <v>173.4</v>
      </c>
      <c r="T40" s="2">
        <f t="shared" si="12"/>
        <v>1.734</v>
      </c>
      <c r="U40" s="2">
        <f t="shared" si="13"/>
        <v>1.3872</v>
      </c>
      <c r="V40" s="2"/>
      <c r="W40" s="2"/>
    </row>
    <row r="41" spans="2:23" x14ac:dyDescent="0.2">
      <c r="B41" s="2">
        <v>39</v>
      </c>
      <c r="C41" s="2">
        <f>D41*战力关系!$B$2+E41*战力关系!$B$3+F41*战力关系!$B$4+G41*战力关系!$B$5+H41*战力关系!$B$6+I41*战力关系!$B$7+J41*战力关系!$B$8</f>
        <v>6266</v>
      </c>
      <c r="D41" s="2">
        <v>260</v>
      </c>
      <c r="E41" s="2">
        <f t="shared" si="1"/>
        <v>260</v>
      </c>
      <c r="F41" s="2">
        <f t="shared" si="15"/>
        <v>6500</v>
      </c>
      <c r="G41" s="2">
        <f t="shared" si="21"/>
        <v>182</v>
      </c>
      <c r="H41" s="2">
        <f t="shared" si="23"/>
        <v>104</v>
      </c>
      <c r="I41" s="2">
        <f t="shared" si="20"/>
        <v>1.04</v>
      </c>
      <c r="J41" s="2">
        <f t="shared" si="22"/>
        <v>0.83200000000000007</v>
      </c>
      <c r="K41" s="2"/>
      <c r="L41" s="2"/>
      <c r="M41" s="2">
        <v>1.7</v>
      </c>
      <c r="N41" s="2">
        <f>O41*战力关系!$B$2+P41*战力关系!$B$3+Q41*战力关系!$B$4+R41*战力关系!$B$5+S41*战力关系!$B$6+T41*战力关系!$B$7+U41*战力关系!$B$8</f>
        <v>10652.2</v>
      </c>
      <c r="O41" s="2">
        <f t="shared" si="7"/>
        <v>442</v>
      </c>
      <c r="P41" s="2">
        <f t="shared" si="8"/>
        <v>442</v>
      </c>
      <c r="Q41" s="2">
        <f t="shared" si="9"/>
        <v>11050</v>
      </c>
      <c r="R41" s="2">
        <f t="shared" si="10"/>
        <v>309.39999999999998</v>
      </c>
      <c r="S41" s="2">
        <f t="shared" si="11"/>
        <v>176.79999999999998</v>
      </c>
      <c r="T41" s="2">
        <f t="shared" si="12"/>
        <v>1.768</v>
      </c>
      <c r="U41" s="2">
        <f t="shared" si="13"/>
        <v>1.4144000000000001</v>
      </c>
      <c r="V41" s="2"/>
      <c r="W41" s="2"/>
    </row>
    <row r="42" spans="2:23" x14ac:dyDescent="0.2">
      <c r="B42" s="2">
        <v>40</v>
      </c>
      <c r="C42" s="2">
        <f>D42*战力关系!$B$2+E42*战力关系!$B$3+F42*战力关系!$B$4+G42*战力关系!$B$5+H42*战力关系!$B$6+I42*战力关系!$B$7+J42*战力关系!$B$8</f>
        <v>6386.5</v>
      </c>
      <c r="D42" s="2">
        <v>265</v>
      </c>
      <c r="E42" s="2">
        <f t="shared" si="1"/>
        <v>265</v>
      </c>
      <c r="F42" s="2">
        <f t="shared" si="15"/>
        <v>6625</v>
      </c>
      <c r="G42" s="2">
        <f t="shared" si="21"/>
        <v>185.5</v>
      </c>
      <c r="H42" s="2">
        <f t="shared" si="23"/>
        <v>106</v>
      </c>
      <c r="I42" s="2">
        <f t="shared" si="20"/>
        <v>1.06</v>
      </c>
      <c r="J42" s="2">
        <f t="shared" si="22"/>
        <v>0.84800000000000009</v>
      </c>
      <c r="K42" s="2"/>
      <c r="L42" s="2"/>
      <c r="M42" s="2">
        <v>1.7</v>
      </c>
      <c r="N42" s="2">
        <f>O42*战力关系!$B$2+P42*战力关系!$B$3+Q42*战力关系!$B$4+R42*战力关系!$B$5+S42*战力关系!$B$6+T42*战力关系!$B$7+U42*战力关系!$B$8</f>
        <v>10857.05</v>
      </c>
      <c r="O42" s="2">
        <f t="shared" si="7"/>
        <v>450.5</v>
      </c>
      <c r="P42" s="2">
        <f t="shared" si="8"/>
        <v>450.5</v>
      </c>
      <c r="Q42" s="2">
        <f t="shared" si="9"/>
        <v>11262.5</v>
      </c>
      <c r="R42" s="2">
        <f t="shared" si="10"/>
        <v>315.34999999999997</v>
      </c>
      <c r="S42" s="2">
        <f t="shared" si="11"/>
        <v>180.2</v>
      </c>
      <c r="T42" s="2">
        <f t="shared" si="12"/>
        <v>1.802</v>
      </c>
      <c r="U42" s="2">
        <f t="shared" si="13"/>
        <v>1.4416000000000002</v>
      </c>
      <c r="V42" s="2"/>
      <c r="W42" s="2"/>
    </row>
  </sheetData>
  <mergeCells count="2">
    <mergeCell ref="M1:W1"/>
    <mergeCell ref="B1:L1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DE38-E722-4CBA-8499-5832F9571FA1}">
  <dimension ref="A1:B10"/>
  <sheetViews>
    <sheetView tabSelected="1" workbookViewId="0">
      <selection activeCell="E11" sqref="E11"/>
    </sheetView>
  </sheetViews>
  <sheetFormatPr defaultColWidth="8.625" defaultRowHeight="14.25" x14ac:dyDescent="0.2"/>
  <cols>
    <col min="1" max="1" width="12" style="1" customWidth="1"/>
    <col min="2" max="2" width="13.375" style="1" customWidth="1"/>
    <col min="3" max="16384" width="8.625" style="1"/>
  </cols>
  <sheetData>
    <row r="1" spans="1:2" x14ac:dyDescent="0.2">
      <c r="A1" s="19" t="s">
        <v>18</v>
      </c>
      <c r="B1" s="19" t="s">
        <v>55</v>
      </c>
    </row>
    <row r="2" spans="1:2" x14ac:dyDescent="0.2">
      <c r="A2" s="18" t="s">
        <v>1</v>
      </c>
      <c r="B2" s="18">
        <v>5</v>
      </c>
    </row>
    <row r="3" spans="1:2" x14ac:dyDescent="0.2">
      <c r="A3" s="18" t="s">
        <v>2</v>
      </c>
      <c r="B3" s="18">
        <v>5</v>
      </c>
    </row>
    <row r="4" spans="1:2" x14ac:dyDescent="0.2">
      <c r="A4" s="18" t="s">
        <v>3</v>
      </c>
      <c r="B4" s="18">
        <v>0.2</v>
      </c>
    </row>
    <row r="5" spans="1:2" x14ac:dyDescent="0.2">
      <c r="A5" s="18" t="s">
        <v>4</v>
      </c>
      <c r="B5" s="18">
        <v>5</v>
      </c>
    </row>
    <row r="6" spans="1:2" x14ac:dyDescent="0.2">
      <c r="A6" s="18" t="s">
        <v>20</v>
      </c>
      <c r="B6" s="18">
        <v>5</v>
      </c>
    </row>
    <row r="7" spans="1:2" x14ac:dyDescent="0.2">
      <c r="A7" s="18" t="s">
        <v>6</v>
      </c>
      <c r="B7" s="18">
        <v>500</v>
      </c>
    </row>
    <row r="8" spans="1:2" x14ac:dyDescent="0.2">
      <c r="A8" s="18" t="s">
        <v>7</v>
      </c>
      <c r="B8" s="18">
        <v>500</v>
      </c>
    </row>
    <row r="9" spans="1:2" x14ac:dyDescent="0.2">
      <c r="A9" s="18" t="s">
        <v>21</v>
      </c>
      <c r="B9" s="18">
        <v>1000</v>
      </c>
    </row>
    <row r="10" spans="1:2" x14ac:dyDescent="0.2">
      <c r="A10" s="18" t="s">
        <v>22</v>
      </c>
      <c r="B10" s="18">
        <v>1000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2B9C-961F-4A85-955C-F92C3CBAB61E}">
  <dimension ref="A1:W10"/>
  <sheetViews>
    <sheetView workbookViewId="0">
      <selection activeCell="N4" sqref="N4"/>
    </sheetView>
  </sheetViews>
  <sheetFormatPr defaultRowHeight="14.25" x14ac:dyDescent="0.2"/>
  <cols>
    <col min="12" max="12" width="17" customWidth="1"/>
    <col min="23" max="23" width="12.625" customWidth="1"/>
  </cols>
  <sheetData>
    <row r="1" spans="1:23" x14ac:dyDescent="0.2">
      <c r="A1" s="2"/>
      <c r="B1" s="153" t="s">
        <v>24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49" t="s">
        <v>70</v>
      </c>
      <c r="N1" s="149"/>
      <c r="O1" s="149"/>
      <c r="P1" s="149"/>
      <c r="Q1" s="149"/>
      <c r="R1" s="149"/>
      <c r="S1" s="149"/>
      <c r="T1" s="149"/>
      <c r="U1" s="149"/>
      <c r="V1" s="149"/>
      <c r="W1" s="149"/>
    </row>
    <row r="2" spans="1:23" x14ac:dyDescent="0.2">
      <c r="A2" s="5" t="s">
        <v>12</v>
      </c>
      <c r="B2" s="5" t="s">
        <v>0</v>
      </c>
      <c r="C2" s="5" t="s">
        <v>23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0</v>
      </c>
      <c r="N2" s="5" t="s">
        <v>23</v>
      </c>
      <c r="O2" s="5" t="s">
        <v>1</v>
      </c>
      <c r="P2" s="5" t="s">
        <v>2</v>
      </c>
      <c r="Q2" s="5" t="s">
        <v>3</v>
      </c>
      <c r="R2" s="5" t="s">
        <v>4</v>
      </c>
      <c r="S2" s="5" t="s">
        <v>5</v>
      </c>
      <c r="T2" s="5" t="s">
        <v>6</v>
      </c>
      <c r="U2" s="5" t="s">
        <v>7</v>
      </c>
      <c r="V2" s="5" t="s">
        <v>8</v>
      </c>
      <c r="W2" s="5" t="s">
        <v>9</v>
      </c>
    </row>
    <row r="3" spans="1:23" x14ac:dyDescent="0.2">
      <c r="A3" s="2">
        <v>1</v>
      </c>
      <c r="B3" s="2">
        <v>12</v>
      </c>
      <c r="C3" s="2">
        <f>VLOOKUP('英雄数值模型-天'!$B3,'英雄数值模型-英雄等级'!$B$3:$L$42,2)</f>
        <v>1466.25</v>
      </c>
      <c r="D3" s="2">
        <f>VLOOKUP('英雄数值模型-天'!$B3,'英雄数值模型-英雄等级'!$B$3:$L$42,3)</f>
        <v>75</v>
      </c>
      <c r="E3" s="2">
        <f>VLOOKUP('英雄数值模型-天'!$B3,'英雄数值模型-英雄等级'!$B$3:$L$42,4)</f>
        <v>75</v>
      </c>
      <c r="F3" s="2">
        <f>VLOOKUP('英雄数值模型-天'!$B3,'英雄数值模型-英雄等级'!$B$3:$L$42,5)</f>
        <v>1875</v>
      </c>
      <c r="G3" s="2">
        <f>VLOOKUP('英雄数值模型-天'!$B3,'英雄数值模型-英雄等级'!$B$3:$L$42,6)</f>
        <v>26.25</v>
      </c>
      <c r="H3" s="2">
        <f>VLOOKUP('英雄数值模型-天'!$B3,'英雄数值模型-英雄等级'!$B$3:$L$42,7)</f>
        <v>15</v>
      </c>
      <c r="I3" s="2">
        <f>VLOOKUP('英雄数值模型-天'!$B3,'英雄数值模型-英雄等级'!$B$3:$L$42,8)</f>
        <v>0.15</v>
      </c>
      <c r="J3" s="2">
        <f>VLOOKUP('英雄数值模型-天'!$B3,'英雄数值模型-英雄等级'!$B$3:$L$42,9)</f>
        <v>0.12000000000000001</v>
      </c>
      <c r="K3" s="2">
        <f>VLOOKUP('英雄数值模型-天'!$B3,'英雄数值模型-英雄等级'!$B$3:$L$42,10)</f>
        <v>0</v>
      </c>
      <c r="L3" s="2">
        <f>VLOOKUP('英雄数值模型-天'!$B3,'英雄数值模型-英雄等级'!$B$3:$L$42,11)</f>
        <v>0</v>
      </c>
      <c r="M3" s="2">
        <v>12</v>
      </c>
      <c r="N3" s="2">
        <f>VLOOKUP('英雄数值模型-天'!$M3,'英雄数值模型-英雄等级'!$B$3:$U$42,13)</f>
        <v>1906.125</v>
      </c>
      <c r="O3" s="2">
        <f>VLOOKUP('英雄数值模型-天'!$M3,'英雄数值模型-英雄等级'!$B$3:$U$42,14)</f>
        <v>97.5</v>
      </c>
      <c r="P3" s="2">
        <f>VLOOKUP('英雄数值模型-天'!$M3,'英雄数值模型-英雄等级'!$B$3:$U$42,15)</f>
        <v>97.5</v>
      </c>
      <c r="Q3" s="2">
        <f>VLOOKUP('英雄数值模型-天'!$M3,'英雄数值模型-英雄等级'!$B$3:$U$42,16)</f>
        <v>2437.5</v>
      </c>
      <c r="R3" s="2">
        <f>VLOOKUP('英雄数值模型-天'!$M3,'英雄数值模型-英雄等级'!$B$3:$U$42,17)</f>
        <v>34.125</v>
      </c>
      <c r="S3" s="2">
        <f>VLOOKUP('英雄数值模型-天'!$M3,'英雄数值模型-英雄等级'!$B$3:$U$42,18)</f>
        <v>19.5</v>
      </c>
      <c r="T3" s="2">
        <f>VLOOKUP('英雄数值模型-天'!$M3,'英雄数值模型-英雄等级'!$B$3:$U$42,19)</f>
        <v>0.19500000000000001</v>
      </c>
      <c r="U3" s="2">
        <f>VLOOKUP('英雄数值模型-天'!$M3,'英雄数值模型-英雄等级'!$B$3:$U$42,20)</f>
        <v>0.15600000000000003</v>
      </c>
      <c r="V3" s="2">
        <f>VLOOKUP('英雄数值模型-天'!$M3,'英雄数值模型-英雄等级'!$B$3:$W$42,21)</f>
        <v>0</v>
      </c>
      <c r="W3" s="2">
        <f>VLOOKUP('英雄数值模型-天'!$M3,'英雄数值模型-英雄等级'!$B$3:$W$42,22)</f>
        <v>0</v>
      </c>
    </row>
    <row r="4" spans="1:23" x14ac:dyDescent="0.2">
      <c r="A4" s="2">
        <v>2</v>
      </c>
      <c r="B4" s="2">
        <v>17</v>
      </c>
      <c r="C4" s="2">
        <f>VLOOKUP('英雄数值模型-天'!$B4,'英雄数值模型-英雄等级'!$B$3:$L$42,2)</f>
        <v>2690.8</v>
      </c>
      <c r="D4" s="2">
        <f>VLOOKUP('英雄数值模型-天'!$B4,'英雄数值模型-英雄等级'!$B$3:$L$42,3)</f>
        <v>124</v>
      </c>
      <c r="E4" s="2">
        <f>VLOOKUP('英雄数值模型-天'!$B4,'英雄数值模型-英雄等级'!$B$3:$L$42,4)</f>
        <v>124</v>
      </c>
      <c r="F4" s="2">
        <f>VLOOKUP('英雄数值模型-天'!$B4,'英雄数值模型-英雄等级'!$B$3:$L$42,5)</f>
        <v>3100</v>
      </c>
      <c r="G4" s="2">
        <f>VLOOKUP('英雄数值模型-天'!$B4,'英雄数值模型-英雄等级'!$B$3:$L$42,6)</f>
        <v>62</v>
      </c>
      <c r="H4" s="2">
        <f>VLOOKUP('英雄数值模型-天'!$B4,'英雄数值模型-英雄等级'!$B$3:$L$42,7)</f>
        <v>37.199999999999996</v>
      </c>
      <c r="I4" s="2">
        <f>VLOOKUP('英雄数值模型-天'!$B4,'英雄数值模型-英雄等级'!$B$3:$L$42,8)</f>
        <v>0.372</v>
      </c>
      <c r="J4" s="2">
        <f>VLOOKUP('英雄数值模型-天'!$B4,'英雄数值模型-英雄等级'!$B$3:$L$42,9)</f>
        <v>0.29759999999999998</v>
      </c>
      <c r="K4" s="2">
        <f>VLOOKUP('英雄数值模型-天'!$B4,'英雄数值模型-英雄等级'!$B$3:$L$42,10)</f>
        <v>0</v>
      </c>
      <c r="L4" s="2">
        <f>VLOOKUP('英雄数值模型-天'!$B4,'英雄数值模型-英雄等级'!$B$3:$L$42,11)</f>
        <v>0</v>
      </c>
      <c r="M4" s="2">
        <v>18</v>
      </c>
      <c r="N4" s="2">
        <f>VLOOKUP('英雄数值模型-天'!$M4,'英雄数值模型-英雄等级'!$B$3:$U$42,13)</f>
        <v>3979.7799999999997</v>
      </c>
      <c r="O4" s="2">
        <f>VLOOKUP('英雄数值模型-天'!$M4,'英雄数值模型-英雄等级'!$B$3:$U$42,14)</f>
        <v>183.39999999999998</v>
      </c>
      <c r="P4" s="2">
        <f>VLOOKUP('英雄数值模型-天'!$M4,'英雄数值模型-英雄等级'!$B$3:$U$42,15)</f>
        <v>183.39999999999998</v>
      </c>
      <c r="Q4" s="2">
        <f>VLOOKUP('英雄数值模型-天'!$M4,'英雄数值模型-英雄等级'!$B$3:$U$42,16)</f>
        <v>4585</v>
      </c>
      <c r="R4" s="2">
        <f>VLOOKUP('英雄数值模型-天'!$M4,'英雄数值模型-英雄等级'!$B$3:$U$42,17)</f>
        <v>91.699999999999989</v>
      </c>
      <c r="S4" s="2">
        <f>VLOOKUP('英雄数值模型-天'!$M4,'英雄数值模型-英雄等级'!$B$3:$U$42,18)</f>
        <v>55.019999999999996</v>
      </c>
      <c r="T4" s="2">
        <f>VLOOKUP('英雄数值模型-天'!$M4,'英雄数值模型-英雄等级'!$B$3:$U$42,19)</f>
        <v>0.55020000000000002</v>
      </c>
      <c r="U4" s="2">
        <f>VLOOKUP('英雄数值模型-天'!$M4,'英雄数值模型-英雄等级'!$B$3:$U$42,20)</f>
        <v>0.44015999999999988</v>
      </c>
      <c r="V4" s="2">
        <f>VLOOKUP('英雄数值模型-天'!$M4,'英雄数值模型-英雄等级'!$B$3:$W$42,21)</f>
        <v>0</v>
      </c>
      <c r="W4" s="2">
        <f>VLOOKUP('英雄数值模型-天'!$M4,'英雄数值模型-英雄等级'!$B$3:$W$42,22)</f>
        <v>0</v>
      </c>
    </row>
    <row r="5" spans="1:23" x14ac:dyDescent="0.2">
      <c r="A5" s="2">
        <v>3</v>
      </c>
      <c r="B5" s="2">
        <v>20</v>
      </c>
      <c r="C5" s="2">
        <f>VLOOKUP('英雄数值模型-天'!$B5,'英雄数值模型-英雄等级'!$B$3:$L$42,2)</f>
        <v>3542.7</v>
      </c>
      <c r="D5" s="2">
        <f>VLOOKUP('英雄数值模型-天'!$B5,'英雄数值模型-英雄等级'!$B$3:$L$42,3)</f>
        <v>147</v>
      </c>
      <c r="E5" s="2">
        <f>VLOOKUP('英雄数值模型-天'!$B5,'英雄数值模型-英雄等级'!$B$3:$L$42,4)</f>
        <v>147</v>
      </c>
      <c r="F5" s="2">
        <f>VLOOKUP('英雄数值模型-天'!$B5,'英雄数值模型-英雄等级'!$B$3:$L$42,5)</f>
        <v>3675</v>
      </c>
      <c r="G5" s="2">
        <f>VLOOKUP('英雄数值模型-天'!$B5,'英雄数值模型-英雄等级'!$B$3:$L$42,6)</f>
        <v>102.89999999999999</v>
      </c>
      <c r="H5" s="2">
        <f>VLOOKUP('英雄数值模型-天'!$B5,'英雄数值模型-英雄等级'!$B$3:$L$42,7)</f>
        <v>58.800000000000004</v>
      </c>
      <c r="I5" s="2">
        <f>VLOOKUP('英雄数值模型-天'!$B5,'英雄数值模型-英雄等级'!$B$3:$L$42,8)</f>
        <v>0.58799999999999997</v>
      </c>
      <c r="J5" s="2">
        <f>VLOOKUP('英雄数值模型-天'!$B5,'英雄数值模型-英雄等级'!$B$3:$L$42,9)</f>
        <v>0.47040000000000004</v>
      </c>
      <c r="K5" s="2">
        <f>VLOOKUP('英雄数值模型-天'!$B5,'英雄数值模型-英雄等级'!$B$3:$L$42,10)</f>
        <v>0</v>
      </c>
      <c r="L5" s="2">
        <f>VLOOKUP('英雄数值模型-天'!$B5,'英雄数值模型-英雄等级'!$B$3:$L$42,11)</f>
        <v>0</v>
      </c>
      <c r="M5" s="2">
        <v>21</v>
      </c>
      <c r="N5" s="2">
        <f>VLOOKUP('英雄数值模型-天'!$M5,'英雄数值模型-英雄等级'!$B$3:$U$42,13)</f>
        <v>5567.1</v>
      </c>
      <c r="O5" s="2">
        <f>VLOOKUP('英雄数值模型-天'!$M5,'英雄数值模型-英雄等级'!$B$3:$U$42,14)</f>
        <v>231</v>
      </c>
      <c r="P5" s="2">
        <f>VLOOKUP('英雄数值模型-天'!$M5,'英雄数值模型-英雄等级'!$B$3:$U$42,15)</f>
        <v>231</v>
      </c>
      <c r="Q5" s="2">
        <f>VLOOKUP('英雄数值模型-天'!$M5,'英雄数值模型-英雄等级'!$B$3:$U$42,16)</f>
        <v>5775</v>
      </c>
      <c r="R5" s="2">
        <f>VLOOKUP('英雄数值模型-天'!$M5,'英雄数值模型-英雄等级'!$B$3:$U$42,17)</f>
        <v>161.69999999999999</v>
      </c>
      <c r="S5" s="2">
        <f>VLOOKUP('英雄数值模型-天'!$M5,'英雄数值模型-英雄等级'!$B$3:$U$42,18)</f>
        <v>92.4</v>
      </c>
      <c r="T5" s="2">
        <f>VLOOKUP('英雄数值模型-天'!$M5,'英雄数值模型-英雄等级'!$B$3:$U$42,19)</f>
        <v>0.92399999999999993</v>
      </c>
      <c r="U5" s="2">
        <f>VLOOKUP('英雄数值模型-天'!$M5,'英雄数值模型-英雄等级'!$B$3:$U$42,20)</f>
        <v>0.73920000000000008</v>
      </c>
      <c r="V5" s="2">
        <f>VLOOKUP('英雄数值模型-天'!$M5,'英雄数值模型-英雄等级'!$B$3:$W$42,21)</f>
        <v>0</v>
      </c>
      <c r="W5" s="2">
        <f>VLOOKUP('英雄数值模型-天'!$M5,'英雄数值模型-英雄等级'!$B$3:$W$42,22)</f>
        <v>0</v>
      </c>
    </row>
    <row r="6" spans="1:23" x14ac:dyDescent="0.2">
      <c r="A6" s="2">
        <v>4</v>
      </c>
      <c r="B6" s="2">
        <v>24</v>
      </c>
      <c r="C6" s="2">
        <f>VLOOKUP('英雄数值模型-天'!$B6,'英雄数值模型-英雄等级'!$B$3:$L$42,2)</f>
        <v>4217.5</v>
      </c>
      <c r="D6" s="2">
        <f>VLOOKUP('英雄数值模型-天'!$B6,'英雄数值模型-英雄等级'!$B$3:$L$42,3)</f>
        <v>175</v>
      </c>
      <c r="E6" s="2">
        <f>VLOOKUP('英雄数值模型-天'!$B6,'英雄数值模型-英雄等级'!$B$3:$L$42,4)</f>
        <v>175</v>
      </c>
      <c r="F6" s="2">
        <f>VLOOKUP('英雄数值模型-天'!$B6,'英雄数值模型-英雄等级'!$B$3:$L$42,5)</f>
        <v>4375</v>
      </c>
      <c r="G6" s="2">
        <f>VLOOKUP('英雄数值模型-天'!$B6,'英雄数值模型-英雄等级'!$B$3:$L$42,6)</f>
        <v>122.49999999999999</v>
      </c>
      <c r="H6" s="2">
        <f>VLOOKUP('英雄数值模型-天'!$B6,'英雄数值模型-英雄等级'!$B$3:$L$42,7)</f>
        <v>70</v>
      </c>
      <c r="I6" s="2">
        <f>VLOOKUP('英雄数值模型-天'!$B6,'英雄数值模型-英雄等级'!$B$3:$L$42,8)</f>
        <v>0.70000000000000007</v>
      </c>
      <c r="J6" s="2">
        <f>VLOOKUP('英雄数值模型-天'!$B6,'英雄数值模型-英雄等级'!$B$3:$L$42,9)</f>
        <v>0.56000000000000005</v>
      </c>
      <c r="K6" s="2">
        <f>VLOOKUP('英雄数值模型-天'!$B6,'英雄数值模型-英雄等级'!$B$3:$L$42,10)</f>
        <v>0</v>
      </c>
      <c r="L6" s="2">
        <f>VLOOKUP('英雄数值模型-天'!$B6,'英雄数值模型-英雄等级'!$B$3:$L$42,11)</f>
        <v>0</v>
      </c>
      <c r="M6" s="2">
        <v>25</v>
      </c>
      <c r="N6" s="2">
        <f>VLOOKUP('英雄数值模型-天'!$M6,'英雄数值模型-英雄等级'!$B$3:$U$42,13)</f>
        <v>6579.3</v>
      </c>
      <c r="O6" s="2">
        <f>VLOOKUP('英雄数值模型-天'!$M6,'英雄数值模型-英雄等级'!$B$3:$U$42,14)</f>
        <v>273</v>
      </c>
      <c r="P6" s="2">
        <f>VLOOKUP('英雄数值模型-天'!$M6,'英雄数值模型-英雄等级'!$B$3:$U$42,15)</f>
        <v>273</v>
      </c>
      <c r="Q6" s="2">
        <f>VLOOKUP('英雄数值模型-天'!$M6,'英雄数值模型-英雄等级'!$B$3:$U$42,16)</f>
        <v>6825</v>
      </c>
      <c r="R6" s="2">
        <f>VLOOKUP('英雄数值模型-天'!$M6,'英雄数值模型-英雄等级'!$B$3:$U$42,17)</f>
        <v>191.1</v>
      </c>
      <c r="S6" s="2">
        <f>VLOOKUP('英雄数值模型-天'!$M6,'英雄数值模型-英雄等级'!$B$3:$U$42,18)</f>
        <v>109.19999999999999</v>
      </c>
      <c r="T6" s="2">
        <f>VLOOKUP('英雄数值模型-天'!$M6,'英雄数值模型-英雄等级'!$B$3:$U$42,19)</f>
        <v>1.0920000000000001</v>
      </c>
      <c r="U6" s="2">
        <f>VLOOKUP('英雄数值模型-天'!$M6,'英雄数值模型-英雄等级'!$B$3:$U$42,20)</f>
        <v>0.87360000000000004</v>
      </c>
      <c r="V6" s="2">
        <f>VLOOKUP('英雄数值模型-天'!$M6,'英雄数值模型-英雄等级'!$B$3:$W$42,21)</f>
        <v>0</v>
      </c>
      <c r="W6" s="2">
        <f>VLOOKUP('英雄数值模型-天'!$M6,'英雄数值模型-英雄等级'!$B$3:$W$42,22)</f>
        <v>0</v>
      </c>
    </row>
    <row r="7" spans="1:23" x14ac:dyDescent="0.2">
      <c r="A7" s="2">
        <v>5</v>
      </c>
      <c r="B7" s="2">
        <v>26</v>
      </c>
      <c r="C7" s="2">
        <f>VLOOKUP('英雄数值模型-天'!$B7,'英雄数值模型-英雄等级'!$B$3:$L$42,2)</f>
        <v>4554.8999999999996</v>
      </c>
      <c r="D7" s="2">
        <f>VLOOKUP('英雄数值模型-天'!$B7,'英雄数值模型-英雄等级'!$B$3:$L$42,3)</f>
        <v>189</v>
      </c>
      <c r="E7" s="2">
        <f>VLOOKUP('英雄数值模型-天'!$B7,'英雄数值模型-英雄等级'!$B$3:$L$42,4)</f>
        <v>189</v>
      </c>
      <c r="F7" s="2">
        <f>VLOOKUP('英雄数值模型-天'!$B7,'英雄数值模型-英雄等级'!$B$3:$L$42,5)</f>
        <v>4725</v>
      </c>
      <c r="G7" s="2">
        <f>VLOOKUP('英雄数值模型-天'!$B7,'英雄数值模型-英雄等级'!$B$3:$L$42,6)</f>
        <v>132.29999999999998</v>
      </c>
      <c r="H7" s="2">
        <f>VLOOKUP('英雄数值模型-天'!$B7,'英雄数值模型-英雄等级'!$B$3:$L$42,7)</f>
        <v>75.600000000000009</v>
      </c>
      <c r="I7" s="2">
        <f>VLOOKUP('英雄数值模型-天'!$B7,'英雄数值模型-英雄等级'!$B$3:$L$42,8)</f>
        <v>0.75600000000000001</v>
      </c>
      <c r="J7" s="2">
        <f>VLOOKUP('英雄数值模型-天'!$B7,'英雄数值模型-英雄等级'!$B$3:$L$42,9)</f>
        <v>0.6048</v>
      </c>
      <c r="K7" s="2">
        <f>VLOOKUP('英雄数值模型-天'!$B7,'英雄数值模型-英雄等级'!$B$3:$L$42,10)</f>
        <v>0</v>
      </c>
      <c r="L7" s="2">
        <f>VLOOKUP('英雄数值模型-天'!$B7,'英雄数值模型-英雄等级'!$B$3:$L$42,11)</f>
        <v>0</v>
      </c>
      <c r="M7" s="2">
        <v>27</v>
      </c>
      <c r="N7" s="2">
        <f>VLOOKUP('英雄数值模型-天'!$M7,'英雄数值模型-英雄等级'!$B$3:$U$42,13)</f>
        <v>7519.2</v>
      </c>
      <c r="O7" s="2">
        <f>VLOOKUP('英雄数值模型-天'!$M7,'英雄数值模型-英雄等级'!$B$3:$U$42,14)</f>
        <v>312</v>
      </c>
      <c r="P7" s="2">
        <f>VLOOKUP('英雄数值模型-天'!$M7,'英雄数值模型-英雄等级'!$B$3:$U$42,15)</f>
        <v>312</v>
      </c>
      <c r="Q7" s="2">
        <f>VLOOKUP('英雄数值模型-天'!$M7,'英雄数值模型-英雄等级'!$B$3:$U$42,16)</f>
        <v>7800</v>
      </c>
      <c r="R7" s="2">
        <f>VLOOKUP('英雄数值模型-天'!$M7,'英雄数值模型-英雄等级'!$B$3:$U$42,17)</f>
        <v>218.4</v>
      </c>
      <c r="S7" s="2">
        <f>VLOOKUP('英雄数值模型-天'!$M7,'英雄数值模型-英雄等级'!$B$3:$U$42,18)</f>
        <v>124.80000000000001</v>
      </c>
      <c r="T7" s="2">
        <f>VLOOKUP('英雄数值模型-天'!$M7,'英雄数值模型-英雄等级'!$B$3:$U$42,19)</f>
        <v>1.2480000000000002</v>
      </c>
      <c r="U7" s="2">
        <f>VLOOKUP('英雄数值模型-天'!$M7,'英雄数值模型-英雄等级'!$B$3:$U$42,20)</f>
        <v>0.99840000000000007</v>
      </c>
      <c r="V7" s="2">
        <f>VLOOKUP('英雄数值模型-天'!$M7,'英雄数值模型-英雄等级'!$B$3:$W$42,21)</f>
        <v>0</v>
      </c>
      <c r="W7" s="2">
        <f>VLOOKUP('英雄数值模型-天'!$M7,'英雄数值模型-英雄等级'!$B$3:$W$42,22)</f>
        <v>0</v>
      </c>
    </row>
    <row r="8" spans="1:23" x14ac:dyDescent="0.2">
      <c r="A8" s="2">
        <v>6</v>
      </c>
      <c r="B8" s="2">
        <v>28</v>
      </c>
      <c r="C8" s="2">
        <f>VLOOKUP('英雄数值模型-天'!$B8,'英雄数值模型-英雄等级'!$B$3:$L$42,2)</f>
        <v>4844.1000000000004</v>
      </c>
      <c r="D8" s="2">
        <f>VLOOKUP('英雄数值模型-天'!$B8,'英雄数值模型-英雄等级'!$B$3:$L$42,3)</f>
        <v>201</v>
      </c>
      <c r="E8" s="2">
        <f>VLOOKUP('英雄数值模型-天'!$B8,'英雄数值模型-英雄等级'!$B$3:$L$42,4)</f>
        <v>201</v>
      </c>
      <c r="F8" s="2">
        <f>VLOOKUP('英雄数值模型-天'!$B8,'英雄数值模型-英雄等级'!$B$3:$L$42,5)</f>
        <v>5025</v>
      </c>
      <c r="G8" s="2">
        <f>VLOOKUP('英雄数值模型-天'!$B8,'英雄数值模型-英雄等级'!$B$3:$L$42,6)</f>
        <v>140.69999999999999</v>
      </c>
      <c r="H8" s="2">
        <f>VLOOKUP('英雄数值模型-天'!$B8,'英雄数值模型-英雄等级'!$B$3:$L$42,7)</f>
        <v>80.400000000000006</v>
      </c>
      <c r="I8" s="2">
        <f>VLOOKUP('英雄数值模型-天'!$B8,'英雄数值模型-英雄等级'!$B$3:$L$42,8)</f>
        <v>0.80400000000000005</v>
      </c>
      <c r="J8" s="2">
        <f>VLOOKUP('英雄数值模型-天'!$B8,'英雄数值模型-英雄等级'!$B$3:$L$42,9)</f>
        <v>0.64319999999999999</v>
      </c>
      <c r="K8" s="2">
        <f>VLOOKUP('英雄数值模型-天'!$B8,'英雄数值模型-英雄等级'!$B$3:$L$42,10)</f>
        <v>0</v>
      </c>
      <c r="L8" s="2">
        <f>VLOOKUP('英雄数值模型-天'!$B8,'英雄数值模型-英雄等级'!$B$3:$L$42,11)</f>
        <v>0</v>
      </c>
      <c r="M8" s="2">
        <v>29</v>
      </c>
      <c r="N8" s="2">
        <f>VLOOKUP('英雄数值模型-天'!$M8,'英雄数值模型-英雄等级'!$B$3:$U$42,13)</f>
        <v>7981.92</v>
      </c>
      <c r="O8" s="2">
        <f>VLOOKUP('英雄数值模型-天'!$M8,'英雄数值模型-英雄等级'!$B$3:$U$42,14)</f>
        <v>331.20000000000005</v>
      </c>
      <c r="P8" s="2">
        <f>VLOOKUP('英雄数值模型-天'!$M8,'英雄数值模型-英雄等级'!$B$3:$U$42,15)</f>
        <v>331.20000000000005</v>
      </c>
      <c r="Q8" s="2">
        <f>VLOOKUP('英雄数值模型-天'!$M8,'英雄数值模型-英雄等级'!$B$3:$U$42,16)</f>
        <v>8280</v>
      </c>
      <c r="R8" s="2">
        <f>VLOOKUP('英雄数值模型-天'!$M8,'英雄数值模型-英雄等级'!$B$3:$U$42,17)</f>
        <v>231.83999999999997</v>
      </c>
      <c r="S8" s="2">
        <f>VLOOKUP('英雄数值模型-天'!$M8,'英雄数值模型-英雄等级'!$B$3:$U$42,18)</f>
        <v>132.48000000000002</v>
      </c>
      <c r="T8" s="2">
        <f>VLOOKUP('英雄数值模型-天'!$M8,'英雄数值模型-英雄等级'!$B$3:$U$42,19)</f>
        <v>1.3248000000000002</v>
      </c>
      <c r="U8" s="2">
        <f>VLOOKUP('英雄数值模型-天'!$M8,'英雄数值模型-英雄等级'!$B$3:$U$42,20)</f>
        <v>1.0598400000000001</v>
      </c>
      <c r="V8" s="2">
        <f>VLOOKUP('英雄数值模型-天'!$M8,'英雄数值模型-英雄等级'!$B$3:$W$42,21)</f>
        <v>0</v>
      </c>
      <c r="W8" s="2">
        <f>VLOOKUP('英雄数值模型-天'!$M8,'英雄数值模型-英雄等级'!$B$3:$W$42,22)</f>
        <v>0</v>
      </c>
    </row>
    <row r="9" spans="1:23" x14ac:dyDescent="0.2">
      <c r="A9" s="2">
        <v>7</v>
      </c>
      <c r="B9" s="2">
        <v>29</v>
      </c>
      <c r="C9" s="2">
        <f>VLOOKUP('英雄数值模型-天'!$B9,'英雄数值模型-英雄等级'!$B$3:$L$42,2)</f>
        <v>4988.7</v>
      </c>
      <c r="D9" s="2">
        <f>VLOOKUP('英雄数值模型-天'!$B9,'英雄数值模型-英雄等级'!$B$3:$L$42,3)</f>
        <v>207</v>
      </c>
      <c r="E9" s="2">
        <f>VLOOKUP('英雄数值模型-天'!$B9,'英雄数值模型-英雄等级'!$B$3:$L$42,4)</f>
        <v>207</v>
      </c>
      <c r="F9" s="2">
        <f>VLOOKUP('英雄数值模型-天'!$B9,'英雄数值模型-英雄等级'!$B$3:$L$42,5)</f>
        <v>5175</v>
      </c>
      <c r="G9" s="2">
        <f>VLOOKUP('英雄数值模型-天'!$B9,'英雄数值模型-英雄等级'!$B$3:$L$42,6)</f>
        <v>144.89999999999998</v>
      </c>
      <c r="H9" s="2">
        <f>VLOOKUP('英雄数值模型-天'!$B9,'英雄数值模型-英雄等级'!$B$3:$L$42,7)</f>
        <v>82.800000000000011</v>
      </c>
      <c r="I9" s="2">
        <f>VLOOKUP('英雄数值模型-天'!$B9,'英雄数值模型-英雄等级'!$B$3:$L$42,8)</f>
        <v>0.82800000000000007</v>
      </c>
      <c r="J9" s="2">
        <f>VLOOKUP('英雄数值模型-天'!$B9,'英雄数值模型-英雄等级'!$B$3:$L$42,9)</f>
        <v>0.66239999999999999</v>
      </c>
      <c r="K9" s="2">
        <f>VLOOKUP('英雄数值模型-天'!$B9,'英雄数值模型-英雄等级'!$B$3:$L$42,10)</f>
        <v>0</v>
      </c>
      <c r="L9" s="2">
        <f>VLOOKUP('英雄数值模型-天'!$B9,'英雄数值模型-英雄等级'!$B$3:$L$42,11)</f>
        <v>0</v>
      </c>
      <c r="M9" s="2">
        <v>30</v>
      </c>
      <c r="N9" s="2">
        <f>VLOOKUP('英雄数值模型-天'!$M9,'英雄数值模型-英雄等级'!$B$3:$U$42,13)</f>
        <v>8213.2800000000007</v>
      </c>
      <c r="O9" s="2">
        <f>VLOOKUP('英雄数值模型-天'!$M9,'英雄数值模型-英雄等级'!$B$3:$U$42,14)</f>
        <v>340.8</v>
      </c>
      <c r="P9" s="2">
        <f>VLOOKUP('英雄数值模型-天'!$M9,'英雄数值模型-英雄等级'!$B$3:$U$42,15)</f>
        <v>340.8</v>
      </c>
      <c r="Q9" s="2">
        <f>VLOOKUP('英雄数值模型-天'!$M9,'英雄数值模型-英雄等级'!$B$3:$U$42,16)</f>
        <v>8520</v>
      </c>
      <c r="R9" s="2">
        <f>VLOOKUP('英雄数值模型-天'!$M9,'英雄数值模型-英雄等级'!$B$3:$U$42,17)</f>
        <v>238.56</v>
      </c>
      <c r="S9" s="2">
        <f>VLOOKUP('英雄数值模型-天'!$M9,'英雄数值模型-英雄等级'!$B$3:$U$42,18)</f>
        <v>136.32000000000002</v>
      </c>
      <c r="T9" s="2">
        <f>VLOOKUP('英雄数值模型-天'!$M9,'英雄数值模型-英雄等级'!$B$3:$U$42,19)</f>
        <v>1.3632</v>
      </c>
      <c r="U9" s="2">
        <f>VLOOKUP('英雄数值模型-天'!$M9,'英雄数值模型-英雄等级'!$B$3:$U$42,20)</f>
        <v>1.09056</v>
      </c>
      <c r="V9" s="2">
        <f>VLOOKUP('英雄数值模型-天'!$M9,'英雄数值模型-英雄等级'!$B$3:$W$42,21)</f>
        <v>0</v>
      </c>
      <c r="W9" s="2">
        <f>VLOOKUP('英雄数值模型-天'!$M9,'英雄数值模型-英雄等级'!$B$3:$W$42,22)</f>
        <v>0</v>
      </c>
    </row>
    <row r="10" spans="1:23" x14ac:dyDescent="0.2">
      <c r="A10" s="2">
        <v>8</v>
      </c>
      <c r="B10" s="2">
        <v>30</v>
      </c>
      <c r="C10" s="2">
        <f>VLOOKUP('英雄数值模型-天'!$B10,'英雄数值模型-英雄等级'!$B$3:$L$42,2)</f>
        <v>5133.3</v>
      </c>
      <c r="D10" s="2">
        <f>VLOOKUP('英雄数值模型-天'!$B10,'英雄数值模型-英雄等级'!$B$3:$L$42,3)</f>
        <v>213</v>
      </c>
      <c r="E10" s="2">
        <f>VLOOKUP('英雄数值模型-天'!$B10,'英雄数值模型-英雄等级'!$B$3:$L$42,4)</f>
        <v>213</v>
      </c>
      <c r="F10" s="2">
        <f>VLOOKUP('英雄数值模型-天'!$B10,'英雄数值模型-英雄等级'!$B$3:$L$42,5)</f>
        <v>5325</v>
      </c>
      <c r="G10" s="2">
        <f>VLOOKUP('英雄数值模型-天'!$B10,'英雄数值模型-英雄等级'!$B$3:$L$42,6)</f>
        <v>149.1</v>
      </c>
      <c r="H10" s="2">
        <f>VLOOKUP('英雄数值模型-天'!$B10,'英雄数值模型-英雄等级'!$B$3:$L$42,7)</f>
        <v>85.2</v>
      </c>
      <c r="I10" s="2">
        <f>VLOOKUP('英雄数值模型-天'!$B10,'英雄数值模型-英雄等级'!$B$3:$L$42,8)</f>
        <v>0.85199999999999998</v>
      </c>
      <c r="J10" s="2">
        <f>VLOOKUP('英雄数值模型-天'!$B10,'英雄数值模型-英雄等级'!$B$3:$L$42,9)</f>
        <v>0.68159999999999998</v>
      </c>
      <c r="K10" s="2">
        <f>VLOOKUP('英雄数值模型-天'!$B10,'英雄数值模型-英雄等级'!$B$3:$L$42,10)</f>
        <v>0</v>
      </c>
      <c r="L10" s="2">
        <f>VLOOKUP('英雄数值模型-天'!$B10,'英雄数值模型-英雄等级'!$B$3:$L$42,11)</f>
        <v>0</v>
      </c>
      <c r="M10" s="2">
        <v>31</v>
      </c>
      <c r="N10" s="2">
        <f>VLOOKUP('英雄数值模型-天'!$M10,'英雄数值模型-英雄等级'!$B$3:$U$42,13)</f>
        <v>8444.64</v>
      </c>
      <c r="O10" s="2">
        <f>VLOOKUP('英雄数值模型-天'!$M10,'英雄数值模型-英雄等级'!$B$3:$U$42,14)</f>
        <v>350.40000000000003</v>
      </c>
      <c r="P10" s="2">
        <f>VLOOKUP('英雄数值模型-天'!$M10,'英雄数值模型-英雄等级'!$B$3:$U$42,15)</f>
        <v>350.40000000000003</v>
      </c>
      <c r="Q10" s="2">
        <f>VLOOKUP('英雄数值模型-天'!$M10,'英雄数值模型-英雄等级'!$B$3:$U$42,16)</f>
        <v>8760</v>
      </c>
      <c r="R10" s="2">
        <f>VLOOKUP('英雄数值模型-天'!$M10,'英雄数值模型-英雄等级'!$B$3:$U$42,17)</f>
        <v>245.27999999999997</v>
      </c>
      <c r="S10" s="2">
        <f>VLOOKUP('英雄数值模型-天'!$M10,'英雄数值模型-英雄等级'!$B$3:$U$42,18)</f>
        <v>140.16000000000003</v>
      </c>
      <c r="T10" s="2">
        <f>VLOOKUP('英雄数值模型-天'!$M10,'英雄数值模型-英雄等级'!$B$3:$U$42,19)</f>
        <v>1.4016000000000002</v>
      </c>
      <c r="U10" s="2">
        <f>VLOOKUP('英雄数值模型-天'!$M10,'英雄数值模型-英雄等级'!$B$3:$U$42,20)</f>
        <v>1.1212800000000001</v>
      </c>
      <c r="V10" s="2">
        <f>VLOOKUP('英雄数值模型-天'!$M10,'英雄数值模型-英雄等级'!$B$3:$W$42,21)</f>
        <v>0</v>
      </c>
      <c r="W10" s="2">
        <f>VLOOKUP('英雄数值模型-天'!$M10,'英雄数值模型-英雄等级'!$B$3:$W$42,22)</f>
        <v>0</v>
      </c>
    </row>
  </sheetData>
  <mergeCells count="2">
    <mergeCell ref="B1:L1"/>
    <mergeCell ref="M1:W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028D-3DEE-418B-A4DB-9441C1689A8D}">
  <dimension ref="A1:AC42"/>
  <sheetViews>
    <sheetView workbookViewId="0">
      <selection activeCell="AC42" sqref="AC42"/>
    </sheetView>
  </sheetViews>
  <sheetFormatPr defaultRowHeight="14.25" x14ac:dyDescent="0.2"/>
  <cols>
    <col min="1" max="1" width="11.125" customWidth="1"/>
    <col min="12" max="12" width="11.125" customWidth="1"/>
    <col min="27" max="28" width="8.75" bestFit="1" customWidth="1"/>
    <col min="29" max="29" width="9.625" bestFit="1" customWidth="1"/>
  </cols>
  <sheetData>
    <row r="1" spans="1:29" x14ac:dyDescent="0.2">
      <c r="A1" s="23"/>
      <c r="B1" s="155" t="s">
        <v>27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4" t="s">
        <v>28</v>
      </c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</row>
    <row r="2" spans="1:29" x14ac:dyDescent="0.2">
      <c r="A2" s="1" t="s">
        <v>13</v>
      </c>
      <c r="B2" s="21" t="s">
        <v>0</v>
      </c>
      <c r="C2" s="21" t="s">
        <v>10</v>
      </c>
      <c r="D2" s="21" t="s">
        <v>1</v>
      </c>
      <c r="E2" s="21" t="s">
        <v>2</v>
      </c>
      <c r="F2" s="21" t="s">
        <v>3</v>
      </c>
      <c r="G2" s="21" t="s">
        <v>4</v>
      </c>
      <c r="H2" s="21" t="s">
        <v>5</v>
      </c>
      <c r="I2" s="21" t="s">
        <v>6</v>
      </c>
      <c r="J2" s="21" t="s">
        <v>7</v>
      </c>
      <c r="K2" s="21" t="s">
        <v>8</v>
      </c>
      <c r="L2" s="21" t="s">
        <v>9</v>
      </c>
      <c r="M2" s="21" t="s">
        <v>30</v>
      </c>
      <c r="N2" s="21" t="s">
        <v>31</v>
      </c>
      <c r="O2" s="21" t="s">
        <v>32</v>
      </c>
      <c r="P2" s="21" t="s">
        <v>11</v>
      </c>
      <c r="Q2" s="21" t="s">
        <v>10</v>
      </c>
      <c r="R2" s="21" t="s">
        <v>1</v>
      </c>
      <c r="S2" s="21" t="s">
        <v>2</v>
      </c>
      <c r="T2" s="21" t="s">
        <v>3</v>
      </c>
      <c r="U2" s="21" t="s">
        <v>4</v>
      </c>
      <c r="V2" s="21" t="s">
        <v>5</v>
      </c>
      <c r="W2" s="21" t="s">
        <v>6</v>
      </c>
      <c r="X2" s="21" t="s">
        <v>7</v>
      </c>
      <c r="Y2" s="21" t="s">
        <v>8</v>
      </c>
      <c r="Z2" s="21" t="s">
        <v>9</v>
      </c>
      <c r="AA2" s="21" t="s">
        <v>30</v>
      </c>
      <c r="AB2" s="21" t="s">
        <v>31</v>
      </c>
      <c r="AC2" s="21" t="s">
        <v>32</v>
      </c>
    </row>
    <row r="3" spans="1:29" x14ac:dyDescent="0.2">
      <c r="A3" s="1"/>
      <c r="B3" s="18">
        <v>1</v>
      </c>
      <c r="C3" s="18">
        <f>D3*战力关系!$B$2+E3*战力关系!$B$3+F3*战力关系!$B$4+G3*战力关系!$B$5+H3*战力关系!$B$6+I3*战力关系!$B$7+J3*战力关系!$B$8</f>
        <v>233</v>
      </c>
      <c r="D3" s="18">
        <v>10</v>
      </c>
      <c r="E3" s="18">
        <f>D3</f>
        <v>10</v>
      </c>
      <c r="F3" s="18">
        <f>D3*40</f>
        <v>400</v>
      </c>
      <c r="G3" s="22">
        <f>D3*0.35</f>
        <v>3.5</v>
      </c>
      <c r="H3" s="22">
        <f>G3</f>
        <v>3.5</v>
      </c>
      <c r="I3" s="18">
        <f>D3*0.002</f>
        <v>0.02</v>
      </c>
      <c r="J3" s="18">
        <f>D3*0.0016</f>
        <v>1.6E-2</v>
      </c>
      <c r="K3" s="18"/>
      <c r="L3" s="18"/>
      <c r="M3" s="22">
        <f>D3*0.6</f>
        <v>6</v>
      </c>
      <c r="N3" s="22">
        <f>M3</f>
        <v>6</v>
      </c>
      <c r="O3" s="22">
        <f>F3*0.45</f>
        <v>180</v>
      </c>
      <c r="P3" s="18">
        <f>1</f>
        <v>1</v>
      </c>
      <c r="Q3" s="18">
        <f>R3*战力关系!$B$2+S3*战力关系!$B$3+T3*战力关系!$B$4+U3*战力关系!$B$5+V3*战力关系!$B$6+W3*战力关系!$B$7+X3*战力关系!$B$8</f>
        <v>233</v>
      </c>
      <c r="R3" s="18">
        <f t="shared" ref="R3:X3" si="0">D3*$P3</f>
        <v>10</v>
      </c>
      <c r="S3" s="18">
        <f t="shared" si="0"/>
        <v>10</v>
      </c>
      <c r="T3" s="18">
        <f t="shared" si="0"/>
        <v>400</v>
      </c>
      <c r="U3" s="18">
        <f t="shared" si="0"/>
        <v>3.5</v>
      </c>
      <c r="V3" s="18">
        <f t="shared" si="0"/>
        <v>3.5</v>
      </c>
      <c r="W3" s="18">
        <f t="shared" si="0"/>
        <v>0.02</v>
      </c>
      <c r="X3" s="18">
        <f t="shared" si="0"/>
        <v>1.6E-2</v>
      </c>
      <c r="Y3" s="18"/>
      <c r="Z3" s="18"/>
      <c r="AA3" s="22">
        <f t="shared" ref="AA3:AC3" si="1">M3*$P3</f>
        <v>6</v>
      </c>
      <c r="AB3" s="22">
        <f t="shared" si="1"/>
        <v>6</v>
      </c>
      <c r="AC3" s="22">
        <f t="shared" si="1"/>
        <v>180</v>
      </c>
    </row>
    <row r="4" spans="1:29" x14ac:dyDescent="0.2">
      <c r="A4" s="1"/>
      <c r="B4" s="18">
        <v>2</v>
      </c>
      <c r="C4" s="18">
        <f>D4*战力关系!$B$2+E4*战力关系!$B$3+F4*战力关系!$B$4+G4*战力关系!$B$5+H4*战力关系!$B$6+I4*战力关系!$B$7+J4*战力关系!$B$8</f>
        <v>279.60000000000002</v>
      </c>
      <c r="D4" s="18">
        <v>12</v>
      </c>
      <c r="E4" s="18">
        <f t="shared" ref="E4:E42" si="2">D4</f>
        <v>12</v>
      </c>
      <c r="F4" s="18">
        <f t="shared" ref="F4:F42" si="3">D4*40</f>
        <v>480</v>
      </c>
      <c r="G4" s="22">
        <f t="shared" ref="G4:G16" si="4">D4*0.35</f>
        <v>4.1999999999999993</v>
      </c>
      <c r="H4" s="22">
        <f t="shared" ref="H4:H42" si="5">G4</f>
        <v>4.1999999999999993</v>
      </c>
      <c r="I4" s="18">
        <f t="shared" ref="I4:I16" si="6">D4*0.002</f>
        <v>2.4E-2</v>
      </c>
      <c r="J4" s="18">
        <f t="shared" ref="J4:J16" si="7">D4*0.0016</f>
        <v>1.9200000000000002E-2</v>
      </c>
      <c r="K4" s="18"/>
      <c r="L4" s="18"/>
      <c r="M4" s="22">
        <f t="shared" ref="M4:M42" si="8">D4*0.6</f>
        <v>7.1999999999999993</v>
      </c>
      <c r="N4" s="22">
        <f t="shared" ref="N4:N42" si="9">M4</f>
        <v>7.1999999999999993</v>
      </c>
      <c r="O4" s="22">
        <f t="shared" ref="O4:O42" si="10">F4*0.45</f>
        <v>216</v>
      </c>
      <c r="P4" s="18">
        <f>1</f>
        <v>1</v>
      </c>
      <c r="Q4" s="18">
        <f>R4*战力关系!$B$2+S4*战力关系!$B$3+T4*战力关系!$B$4+U4*战力关系!$B$5+V4*战力关系!$B$6+W4*战力关系!$B$7+X4*战力关系!$B$8</f>
        <v>279.60000000000002</v>
      </c>
      <c r="R4" s="18">
        <f t="shared" ref="R4:R42" si="11">D4*$P4</f>
        <v>12</v>
      </c>
      <c r="S4" s="18">
        <f t="shared" ref="S4:S42" si="12">E4*$P4</f>
        <v>12</v>
      </c>
      <c r="T4" s="18">
        <f t="shared" ref="T4:T42" si="13">F4*$P4</f>
        <v>480</v>
      </c>
      <c r="U4" s="18">
        <f t="shared" ref="U4:U42" si="14">G4*$P4</f>
        <v>4.1999999999999993</v>
      </c>
      <c r="V4" s="18">
        <f t="shared" ref="V4:V42" si="15">H4*$P4</f>
        <v>4.1999999999999993</v>
      </c>
      <c r="W4" s="18">
        <f t="shared" ref="W4:W42" si="16">I4*$P4</f>
        <v>2.4E-2</v>
      </c>
      <c r="X4" s="18">
        <f t="shared" ref="X4:X42" si="17">J4*$P4</f>
        <v>1.9200000000000002E-2</v>
      </c>
      <c r="Y4" s="18"/>
      <c r="Z4" s="18"/>
      <c r="AA4" s="22">
        <f t="shared" ref="AA4:AA42" si="18">M4*$P4</f>
        <v>7.1999999999999993</v>
      </c>
      <c r="AB4" s="22">
        <f t="shared" ref="AB4:AB42" si="19">N4*$P4</f>
        <v>7.1999999999999993</v>
      </c>
      <c r="AC4" s="22">
        <f t="shared" ref="AC4:AC42" si="20">O4*$P4</f>
        <v>216</v>
      </c>
    </row>
    <row r="5" spans="1:29" x14ac:dyDescent="0.2">
      <c r="A5" s="1"/>
      <c r="B5" s="18">
        <v>3</v>
      </c>
      <c r="C5" s="18">
        <f>D5*战力关系!$B$2+E5*战力关系!$B$3+F5*战力关系!$B$4+G5*战力关系!$B$5+H5*战力关系!$B$6+I5*战力关系!$B$7+J5*战力关系!$B$8</f>
        <v>326.2</v>
      </c>
      <c r="D5" s="18">
        <v>14</v>
      </c>
      <c r="E5" s="18">
        <f t="shared" si="2"/>
        <v>14</v>
      </c>
      <c r="F5" s="18">
        <f t="shared" si="3"/>
        <v>560</v>
      </c>
      <c r="G5" s="22">
        <f t="shared" si="4"/>
        <v>4.8999999999999995</v>
      </c>
      <c r="H5" s="22">
        <f t="shared" si="5"/>
        <v>4.8999999999999995</v>
      </c>
      <c r="I5" s="18">
        <f t="shared" si="6"/>
        <v>2.8000000000000001E-2</v>
      </c>
      <c r="J5" s="18">
        <f t="shared" si="7"/>
        <v>2.24E-2</v>
      </c>
      <c r="K5" s="18"/>
      <c r="L5" s="18"/>
      <c r="M5" s="22">
        <f t="shared" si="8"/>
        <v>8.4</v>
      </c>
      <c r="N5" s="22">
        <f t="shared" si="9"/>
        <v>8.4</v>
      </c>
      <c r="O5" s="22">
        <f t="shared" si="10"/>
        <v>252</v>
      </c>
      <c r="P5" s="18">
        <f>1</f>
        <v>1</v>
      </c>
      <c r="Q5" s="18">
        <f>R5*战力关系!$B$2+S5*战力关系!$B$3+T5*战力关系!$B$4+U5*战力关系!$B$5+V5*战力关系!$B$6+W5*战力关系!$B$7+X5*战力关系!$B$8</f>
        <v>326.2</v>
      </c>
      <c r="R5" s="18">
        <f t="shared" si="11"/>
        <v>14</v>
      </c>
      <c r="S5" s="18">
        <f t="shared" si="12"/>
        <v>14</v>
      </c>
      <c r="T5" s="18">
        <f t="shared" si="13"/>
        <v>560</v>
      </c>
      <c r="U5" s="18">
        <f t="shared" si="14"/>
        <v>4.8999999999999995</v>
      </c>
      <c r="V5" s="18">
        <f t="shared" si="15"/>
        <v>4.8999999999999995</v>
      </c>
      <c r="W5" s="18">
        <f t="shared" si="16"/>
        <v>2.8000000000000001E-2</v>
      </c>
      <c r="X5" s="18">
        <f t="shared" si="17"/>
        <v>2.24E-2</v>
      </c>
      <c r="Y5" s="18"/>
      <c r="Z5" s="18"/>
      <c r="AA5" s="22">
        <f t="shared" si="18"/>
        <v>8.4</v>
      </c>
      <c r="AB5" s="22">
        <f t="shared" si="19"/>
        <v>8.4</v>
      </c>
      <c r="AC5" s="22">
        <f t="shared" si="20"/>
        <v>252</v>
      </c>
    </row>
    <row r="6" spans="1:29" x14ac:dyDescent="0.2">
      <c r="A6" s="1"/>
      <c r="B6" s="18">
        <v>4</v>
      </c>
      <c r="C6" s="18">
        <f>D6*战力关系!$B$2+E6*战力关系!$B$3+F6*战力关系!$B$4+G6*战力关系!$B$5+H6*战力关系!$B$6+I6*战力关系!$B$7+J6*战力关系!$B$8</f>
        <v>372.8</v>
      </c>
      <c r="D6" s="18">
        <v>16</v>
      </c>
      <c r="E6" s="18">
        <f t="shared" si="2"/>
        <v>16</v>
      </c>
      <c r="F6" s="18">
        <f t="shared" si="3"/>
        <v>640</v>
      </c>
      <c r="G6" s="22">
        <f t="shared" si="4"/>
        <v>5.6</v>
      </c>
      <c r="H6" s="22">
        <f t="shared" si="5"/>
        <v>5.6</v>
      </c>
      <c r="I6" s="18">
        <f t="shared" si="6"/>
        <v>3.2000000000000001E-2</v>
      </c>
      <c r="J6" s="18">
        <f t="shared" si="7"/>
        <v>2.5600000000000001E-2</v>
      </c>
      <c r="K6" s="18"/>
      <c r="L6" s="18"/>
      <c r="M6" s="22">
        <f t="shared" si="8"/>
        <v>9.6</v>
      </c>
      <c r="N6" s="22">
        <f t="shared" si="9"/>
        <v>9.6</v>
      </c>
      <c r="O6" s="22">
        <f t="shared" si="10"/>
        <v>288</v>
      </c>
      <c r="P6" s="18">
        <f>1</f>
        <v>1</v>
      </c>
      <c r="Q6" s="18">
        <f>R6*战力关系!$B$2+S6*战力关系!$B$3+T6*战力关系!$B$4+U6*战力关系!$B$5+V6*战力关系!$B$6+W6*战力关系!$B$7+X6*战力关系!$B$8</f>
        <v>372.8</v>
      </c>
      <c r="R6" s="18">
        <f t="shared" si="11"/>
        <v>16</v>
      </c>
      <c r="S6" s="18">
        <f t="shared" si="12"/>
        <v>16</v>
      </c>
      <c r="T6" s="18">
        <f t="shared" si="13"/>
        <v>640</v>
      </c>
      <c r="U6" s="18">
        <f t="shared" si="14"/>
        <v>5.6</v>
      </c>
      <c r="V6" s="18">
        <f t="shared" si="15"/>
        <v>5.6</v>
      </c>
      <c r="W6" s="18">
        <f t="shared" si="16"/>
        <v>3.2000000000000001E-2</v>
      </c>
      <c r="X6" s="18">
        <f t="shared" si="17"/>
        <v>2.5600000000000001E-2</v>
      </c>
      <c r="Y6" s="18"/>
      <c r="Z6" s="18"/>
      <c r="AA6" s="22">
        <f t="shared" si="18"/>
        <v>9.6</v>
      </c>
      <c r="AB6" s="22">
        <f t="shared" si="19"/>
        <v>9.6</v>
      </c>
      <c r="AC6" s="22">
        <f t="shared" si="20"/>
        <v>288</v>
      </c>
    </row>
    <row r="7" spans="1:29" x14ac:dyDescent="0.2">
      <c r="A7" s="1" t="s">
        <v>29</v>
      </c>
      <c r="B7" s="18">
        <v>5</v>
      </c>
      <c r="C7" s="18">
        <f>D7*战力关系!$B$2+E7*战力关系!$B$3+F7*战力关系!$B$4+G7*战力关系!$B$5+H7*战力关系!$B$6+I7*战力关系!$B$7+J7*战力关系!$B$8</f>
        <v>442.7</v>
      </c>
      <c r="D7" s="18">
        <v>19</v>
      </c>
      <c r="E7" s="18">
        <f t="shared" si="2"/>
        <v>19</v>
      </c>
      <c r="F7" s="18">
        <f t="shared" si="3"/>
        <v>760</v>
      </c>
      <c r="G7" s="22">
        <f t="shared" si="4"/>
        <v>6.6499999999999995</v>
      </c>
      <c r="H7" s="22">
        <f t="shared" si="5"/>
        <v>6.6499999999999995</v>
      </c>
      <c r="I7" s="18">
        <f t="shared" si="6"/>
        <v>3.7999999999999999E-2</v>
      </c>
      <c r="J7" s="18">
        <f t="shared" si="7"/>
        <v>3.04E-2</v>
      </c>
      <c r="K7" s="18"/>
      <c r="L7" s="18"/>
      <c r="M7" s="22">
        <f t="shared" si="8"/>
        <v>11.4</v>
      </c>
      <c r="N7" s="22">
        <f t="shared" si="9"/>
        <v>11.4</v>
      </c>
      <c r="O7" s="22">
        <f t="shared" si="10"/>
        <v>342</v>
      </c>
      <c r="P7" s="18">
        <f>1</f>
        <v>1</v>
      </c>
      <c r="Q7" s="18">
        <f>R7*战力关系!$B$2+S7*战力关系!$B$3+T7*战力关系!$B$4+U7*战力关系!$B$5+V7*战力关系!$B$6+W7*战力关系!$B$7+X7*战力关系!$B$8</f>
        <v>442.7</v>
      </c>
      <c r="R7" s="18">
        <f t="shared" si="11"/>
        <v>19</v>
      </c>
      <c r="S7" s="18">
        <f t="shared" si="12"/>
        <v>19</v>
      </c>
      <c r="T7" s="18">
        <f t="shared" si="13"/>
        <v>760</v>
      </c>
      <c r="U7" s="18">
        <f t="shared" si="14"/>
        <v>6.6499999999999995</v>
      </c>
      <c r="V7" s="18">
        <f t="shared" si="15"/>
        <v>6.6499999999999995</v>
      </c>
      <c r="W7" s="18">
        <f t="shared" si="16"/>
        <v>3.7999999999999999E-2</v>
      </c>
      <c r="X7" s="18">
        <f t="shared" si="17"/>
        <v>3.04E-2</v>
      </c>
      <c r="Y7" s="18"/>
      <c r="Z7" s="18"/>
      <c r="AA7" s="22">
        <f t="shared" si="18"/>
        <v>11.4</v>
      </c>
      <c r="AB7" s="22">
        <f t="shared" si="19"/>
        <v>11.4</v>
      </c>
      <c r="AC7" s="22">
        <f t="shared" si="20"/>
        <v>342</v>
      </c>
    </row>
    <row r="8" spans="1:29" x14ac:dyDescent="0.2">
      <c r="A8" s="1"/>
      <c r="B8" s="18">
        <v>6</v>
      </c>
      <c r="C8" s="18">
        <f>D8*战力关系!$B$2+E8*战力关系!$B$3+F8*战力关系!$B$4+G8*战力关系!$B$5+H8*战力关系!$B$6+I8*战力关系!$B$7+J8*战力关系!$B$8</f>
        <v>512.6</v>
      </c>
      <c r="D8" s="18">
        <v>22</v>
      </c>
      <c r="E8" s="18">
        <f t="shared" si="2"/>
        <v>22</v>
      </c>
      <c r="F8" s="18">
        <f t="shared" si="3"/>
        <v>880</v>
      </c>
      <c r="G8" s="22">
        <f t="shared" si="4"/>
        <v>7.6999999999999993</v>
      </c>
      <c r="H8" s="22">
        <f t="shared" si="5"/>
        <v>7.6999999999999993</v>
      </c>
      <c r="I8" s="18">
        <f t="shared" si="6"/>
        <v>4.3999999999999997E-2</v>
      </c>
      <c r="J8" s="18">
        <f t="shared" si="7"/>
        <v>3.5200000000000002E-2</v>
      </c>
      <c r="K8" s="18"/>
      <c r="L8" s="18"/>
      <c r="M8" s="22">
        <f t="shared" si="8"/>
        <v>13.2</v>
      </c>
      <c r="N8" s="22">
        <f t="shared" si="9"/>
        <v>13.2</v>
      </c>
      <c r="O8" s="22">
        <f t="shared" si="10"/>
        <v>396</v>
      </c>
      <c r="P8" s="18">
        <v>1.1000000000000001</v>
      </c>
      <c r="Q8" s="18">
        <f>R8*战力关系!$B$2+S8*战力关系!$B$3+T8*战力关系!$B$4+U8*战力关系!$B$5+V8*战力关系!$B$6+W8*战力关系!$B$7+X8*战力关系!$B$8</f>
        <v>563.86000000000013</v>
      </c>
      <c r="R8" s="18">
        <f t="shared" si="11"/>
        <v>24.200000000000003</v>
      </c>
      <c r="S8" s="18">
        <f t="shared" si="12"/>
        <v>24.200000000000003</v>
      </c>
      <c r="T8" s="18">
        <f t="shared" si="13"/>
        <v>968.00000000000011</v>
      </c>
      <c r="U8" s="18">
        <f t="shared" si="14"/>
        <v>8.4700000000000006</v>
      </c>
      <c r="V8" s="18">
        <f t="shared" si="15"/>
        <v>8.4700000000000006</v>
      </c>
      <c r="W8" s="18">
        <f t="shared" si="16"/>
        <v>4.8399999999999999E-2</v>
      </c>
      <c r="X8" s="18">
        <f t="shared" si="17"/>
        <v>3.8720000000000004E-2</v>
      </c>
      <c r="Y8" s="18"/>
      <c r="Z8" s="18"/>
      <c r="AA8" s="22">
        <f t="shared" si="18"/>
        <v>14.52</v>
      </c>
      <c r="AB8" s="22">
        <f t="shared" si="19"/>
        <v>14.52</v>
      </c>
      <c r="AC8" s="22">
        <f t="shared" si="20"/>
        <v>435.6</v>
      </c>
    </row>
    <row r="9" spans="1:29" x14ac:dyDescent="0.2">
      <c r="A9" s="1"/>
      <c r="B9" s="18">
        <v>7</v>
      </c>
      <c r="C9" s="18">
        <f>D9*战力关系!$B$2+E9*战力关系!$B$3+F9*战力关系!$B$4+G9*战力关系!$B$5+H9*战力关系!$B$6+I9*战力关系!$B$7+J9*战力关系!$B$8</f>
        <v>582.5</v>
      </c>
      <c r="D9" s="18">
        <v>25</v>
      </c>
      <c r="E9" s="18">
        <f t="shared" si="2"/>
        <v>25</v>
      </c>
      <c r="F9" s="18">
        <f t="shared" si="3"/>
        <v>1000</v>
      </c>
      <c r="G9" s="22">
        <f t="shared" si="4"/>
        <v>8.75</v>
      </c>
      <c r="H9" s="22">
        <f t="shared" si="5"/>
        <v>8.75</v>
      </c>
      <c r="I9" s="18">
        <f t="shared" si="6"/>
        <v>0.05</v>
      </c>
      <c r="J9" s="18">
        <f t="shared" si="7"/>
        <v>0.04</v>
      </c>
      <c r="K9" s="18"/>
      <c r="L9" s="18"/>
      <c r="M9" s="22">
        <f t="shared" si="8"/>
        <v>15</v>
      </c>
      <c r="N9" s="22">
        <f t="shared" si="9"/>
        <v>15</v>
      </c>
      <c r="O9" s="22">
        <f t="shared" si="10"/>
        <v>450</v>
      </c>
      <c r="P9" s="18">
        <v>1.1000000000000001</v>
      </c>
      <c r="Q9" s="18">
        <f>R9*战力关系!$B$2+S9*战力关系!$B$3+T9*战力关系!$B$4+U9*战力关系!$B$5+V9*战力关系!$B$6+W9*战力关系!$B$7+X9*战力关系!$B$8</f>
        <v>640.75</v>
      </c>
      <c r="R9" s="18">
        <f t="shared" si="11"/>
        <v>27.500000000000004</v>
      </c>
      <c r="S9" s="18">
        <f t="shared" si="12"/>
        <v>27.500000000000004</v>
      </c>
      <c r="T9" s="18">
        <f t="shared" si="13"/>
        <v>1100</v>
      </c>
      <c r="U9" s="18">
        <f t="shared" si="14"/>
        <v>9.625</v>
      </c>
      <c r="V9" s="18">
        <f t="shared" si="15"/>
        <v>9.625</v>
      </c>
      <c r="W9" s="18">
        <f t="shared" si="16"/>
        <v>5.5000000000000007E-2</v>
      </c>
      <c r="X9" s="18">
        <f t="shared" si="17"/>
        <v>4.4000000000000004E-2</v>
      </c>
      <c r="Y9" s="18"/>
      <c r="Z9" s="18"/>
      <c r="AA9" s="22">
        <f t="shared" si="18"/>
        <v>16.5</v>
      </c>
      <c r="AB9" s="22">
        <f t="shared" si="19"/>
        <v>16.5</v>
      </c>
      <c r="AC9" s="22">
        <f t="shared" si="20"/>
        <v>495.00000000000006</v>
      </c>
    </row>
    <row r="10" spans="1:29" x14ac:dyDescent="0.2">
      <c r="A10" s="1"/>
      <c r="B10" s="18">
        <v>8</v>
      </c>
      <c r="C10" s="18">
        <f>D10*战力关系!$B$2+E10*战力关系!$B$3+F10*战力关系!$B$4+G10*战力关系!$B$5+H10*战力关系!$B$6+I10*战力关系!$B$7+J10*战力关系!$B$8</f>
        <v>652.4</v>
      </c>
      <c r="D10" s="18">
        <v>28</v>
      </c>
      <c r="E10" s="18">
        <f t="shared" si="2"/>
        <v>28</v>
      </c>
      <c r="F10" s="18">
        <f t="shared" si="3"/>
        <v>1120</v>
      </c>
      <c r="G10" s="22">
        <f t="shared" si="4"/>
        <v>9.7999999999999989</v>
      </c>
      <c r="H10" s="22">
        <f t="shared" si="5"/>
        <v>9.7999999999999989</v>
      </c>
      <c r="I10" s="18">
        <f t="shared" si="6"/>
        <v>5.6000000000000001E-2</v>
      </c>
      <c r="J10" s="18">
        <f t="shared" si="7"/>
        <v>4.48E-2</v>
      </c>
      <c r="K10" s="18"/>
      <c r="L10" s="18"/>
      <c r="M10" s="22">
        <f t="shared" si="8"/>
        <v>16.8</v>
      </c>
      <c r="N10" s="22">
        <f t="shared" si="9"/>
        <v>16.8</v>
      </c>
      <c r="O10" s="22">
        <f t="shared" si="10"/>
        <v>504</v>
      </c>
      <c r="P10" s="18">
        <v>1.1000000000000001</v>
      </c>
      <c r="Q10" s="18">
        <f>R10*战力关系!$B$2+S10*战力关系!$B$3+T10*战力关系!$B$4+U10*战力关系!$B$5+V10*战力关系!$B$6+W10*战力关系!$B$7+X10*战力关系!$B$8</f>
        <v>717.64</v>
      </c>
      <c r="R10" s="18">
        <f t="shared" si="11"/>
        <v>30.800000000000004</v>
      </c>
      <c r="S10" s="18">
        <f t="shared" si="12"/>
        <v>30.800000000000004</v>
      </c>
      <c r="T10" s="18">
        <f t="shared" si="13"/>
        <v>1232</v>
      </c>
      <c r="U10" s="18">
        <f t="shared" si="14"/>
        <v>10.78</v>
      </c>
      <c r="V10" s="18">
        <f t="shared" si="15"/>
        <v>10.78</v>
      </c>
      <c r="W10" s="18">
        <f t="shared" si="16"/>
        <v>6.1600000000000009E-2</v>
      </c>
      <c r="X10" s="18">
        <f t="shared" si="17"/>
        <v>4.9280000000000004E-2</v>
      </c>
      <c r="Y10" s="18"/>
      <c r="Z10" s="18"/>
      <c r="AA10" s="22">
        <f t="shared" si="18"/>
        <v>18.480000000000004</v>
      </c>
      <c r="AB10" s="22">
        <f t="shared" si="19"/>
        <v>18.480000000000004</v>
      </c>
      <c r="AC10" s="22">
        <f t="shared" si="20"/>
        <v>554.40000000000009</v>
      </c>
    </row>
    <row r="11" spans="1:29" x14ac:dyDescent="0.2">
      <c r="A11" s="1"/>
      <c r="B11" s="18">
        <v>9</v>
      </c>
      <c r="C11" s="18">
        <f>D11*战力关系!$B$2+E11*战力关系!$B$3+F11*战力关系!$B$4+G11*战力关系!$B$5+H11*战力关系!$B$6+I11*战力关系!$B$7+J11*战力关系!$B$8</f>
        <v>722.3</v>
      </c>
      <c r="D11" s="18">
        <v>31</v>
      </c>
      <c r="E11" s="18">
        <f t="shared" si="2"/>
        <v>31</v>
      </c>
      <c r="F11" s="18">
        <f t="shared" si="3"/>
        <v>1240</v>
      </c>
      <c r="G11" s="22">
        <f t="shared" si="4"/>
        <v>10.85</v>
      </c>
      <c r="H11" s="22">
        <f t="shared" si="5"/>
        <v>10.85</v>
      </c>
      <c r="I11" s="18">
        <f t="shared" si="6"/>
        <v>6.2E-2</v>
      </c>
      <c r="J11" s="18">
        <f t="shared" si="7"/>
        <v>4.9600000000000005E-2</v>
      </c>
      <c r="K11" s="18"/>
      <c r="L11" s="18"/>
      <c r="M11" s="22">
        <f t="shared" si="8"/>
        <v>18.599999999999998</v>
      </c>
      <c r="N11" s="22">
        <f t="shared" si="9"/>
        <v>18.599999999999998</v>
      </c>
      <c r="O11" s="22">
        <f t="shared" si="10"/>
        <v>558</v>
      </c>
      <c r="P11" s="18">
        <v>1.1000000000000001</v>
      </c>
      <c r="Q11" s="18">
        <f>R11*战力关系!$B$2+S11*战力关系!$B$3+T11*战力关系!$B$4+U11*战力关系!$B$5+V11*战力关系!$B$6+W11*战力关系!$B$7+X11*战力关系!$B$8</f>
        <v>794.52999999999986</v>
      </c>
      <c r="R11" s="18">
        <f t="shared" si="11"/>
        <v>34.1</v>
      </c>
      <c r="S11" s="18">
        <f t="shared" si="12"/>
        <v>34.1</v>
      </c>
      <c r="T11" s="18">
        <f t="shared" si="13"/>
        <v>1364</v>
      </c>
      <c r="U11" s="18">
        <f t="shared" si="14"/>
        <v>11.935</v>
      </c>
      <c r="V11" s="18">
        <f t="shared" si="15"/>
        <v>11.935</v>
      </c>
      <c r="W11" s="18">
        <f t="shared" si="16"/>
        <v>6.8200000000000011E-2</v>
      </c>
      <c r="X11" s="18">
        <f t="shared" si="17"/>
        <v>5.4560000000000011E-2</v>
      </c>
      <c r="Y11" s="18"/>
      <c r="Z11" s="18"/>
      <c r="AA11" s="22">
        <f t="shared" si="18"/>
        <v>20.46</v>
      </c>
      <c r="AB11" s="22">
        <f t="shared" si="19"/>
        <v>20.46</v>
      </c>
      <c r="AC11" s="22">
        <f t="shared" si="20"/>
        <v>613.80000000000007</v>
      </c>
    </row>
    <row r="12" spans="1:29" x14ac:dyDescent="0.2">
      <c r="A12" s="1"/>
      <c r="B12" s="18">
        <v>10</v>
      </c>
      <c r="C12" s="18">
        <f>D12*战力关系!$B$2+E12*战力关系!$B$3+F12*战力关系!$B$4+G12*战力关系!$B$5+H12*战力关系!$B$6+I12*战力关系!$B$7+J12*战力关系!$B$8</f>
        <v>792.2</v>
      </c>
      <c r="D12" s="18">
        <v>34</v>
      </c>
      <c r="E12" s="18">
        <f t="shared" si="2"/>
        <v>34</v>
      </c>
      <c r="F12" s="18">
        <f t="shared" si="3"/>
        <v>1360</v>
      </c>
      <c r="G12" s="22">
        <f t="shared" si="4"/>
        <v>11.899999999999999</v>
      </c>
      <c r="H12" s="22">
        <f t="shared" si="5"/>
        <v>11.899999999999999</v>
      </c>
      <c r="I12" s="18">
        <f t="shared" si="6"/>
        <v>6.8000000000000005E-2</v>
      </c>
      <c r="J12" s="18">
        <f t="shared" si="7"/>
        <v>5.4400000000000004E-2</v>
      </c>
      <c r="K12" s="18"/>
      <c r="L12" s="18"/>
      <c r="M12" s="22">
        <f t="shared" si="8"/>
        <v>20.399999999999999</v>
      </c>
      <c r="N12" s="22">
        <f t="shared" si="9"/>
        <v>20.399999999999999</v>
      </c>
      <c r="O12" s="22">
        <f t="shared" si="10"/>
        <v>612</v>
      </c>
      <c r="P12" s="18">
        <v>1.1000000000000001</v>
      </c>
      <c r="Q12" s="18">
        <f>R12*战力关系!$B$2+S12*战力关系!$B$3+T12*战力关系!$B$4+U12*战力关系!$B$5+V12*战力关系!$B$6+W12*战力关系!$B$7+X12*战力关系!$B$8</f>
        <v>871.42000000000007</v>
      </c>
      <c r="R12" s="18">
        <f t="shared" si="11"/>
        <v>37.400000000000006</v>
      </c>
      <c r="S12" s="18">
        <f t="shared" si="12"/>
        <v>37.400000000000006</v>
      </c>
      <c r="T12" s="18">
        <f t="shared" si="13"/>
        <v>1496.0000000000002</v>
      </c>
      <c r="U12" s="18">
        <f t="shared" si="14"/>
        <v>13.09</v>
      </c>
      <c r="V12" s="18">
        <f t="shared" si="15"/>
        <v>13.09</v>
      </c>
      <c r="W12" s="18">
        <f t="shared" si="16"/>
        <v>7.4800000000000005E-2</v>
      </c>
      <c r="X12" s="18">
        <f t="shared" si="17"/>
        <v>5.9840000000000011E-2</v>
      </c>
      <c r="Y12" s="18"/>
      <c r="Z12" s="18"/>
      <c r="AA12" s="22">
        <f t="shared" si="18"/>
        <v>22.44</v>
      </c>
      <c r="AB12" s="22">
        <f t="shared" si="19"/>
        <v>22.44</v>
      </c>
      <c r="AC12" s="22">
        <f t="shared" si="20"/>
        <v>673.2</v>
      </c>
    </row>
    <row r="13" spans="1:29" x14ac:dyDescent="0.2">
      <c r="A13" s="1"/>
      <c r="B13" s="18">
        <v>11</v>
      </c>
      <c r="C13" s="18">
        <f>D13*战力关系!$B$2+E13*战力关系!$B$3+F13*战力关系!$B$4+G13*战力关系!$B$5+H13*战力关系!$B$6+I13*战力关系!$B$7+J13*战力关系!$B$8</f>
        <v>862.1</v>
      </c>
      <c r="D13" s="18">
        <v>37</v>
      </c>
      <c r="E13" s="18">
        <f t="shared" si="2"/>
        <v>37</v>
      </c>
      <c r="F13" s="18">
        <f t="shared" si="3"/>
        <v>1480</v>
      </c>
      <c r="G13" s="22">
        <f t="shared" si="4"/>
        <v>12.95</v>
      </c>
      <c r="H13" s="22">
        <f t="shared" si="5"/>
        <v>12.95</v>
      </c>
      <c r="I13" s="18">
        <f t="shared" si="6"/>
        <v>7.3999999999999996E-2</v>
      </c>
      <c r="J13" s="18">
        <f t="shared" si="7"/>
        <v>5.9200000000000003E-2</v>
      </c>
      <c r="K13" s="18"/>
      <c r="L13" s="18"/>
      <c r="M13" s="22">
        <f t="shared" si="8"/>
        <v>22.2</v>
      </c>
      <c r="N13" s="22">
        <f t="shared" si="9"/>
        <v>22.2</v>
      </c>
      <c r="O13" s="22">
        <f t="shared" si="10"/>
        <v>666</v>
      </c>
      <c r="P13" s="18">
        <v>1.1000000000000001</v>
      </c>
      <c r="Q13" s="18">
        <f>R13*战力关系!$B$2+S13*战力关系!$B$3+T13*战力关系!$B$4+U13*战力关系!$B$5+V13*战力关系!$B$6+W13*战力关系!$B$7+X13*战力关系!$B$8</f>
        <v>948.31000000000017</v>
      </c>
      <c r="R13" s="18">
        <f t="shared" si="11"/>
        <v>40.700000000000003</v>
      </c>
      <c r="S13" s="18">
        <f t="shared" si="12"/>
        <v>40.700000000000003</v>
      </c>
      <c r="T13" s="18">
        <f t="shared" si="13"/>
        <v>1628.0000000000002</v>
      </c>
      <c r="U13" s="18">
        <f t="shared" si="14"/>
        <v>14.245000000000001</v>
      </c>
      <c r="V13" s="18">
        <f t="shared" si="15"/>
        <v>14.245000000000001</v>
      </c>
      <c r="W13" s="18">
        <f t="shared" si="16"/>
        <v>8.14E-2</v>
      </c>
      <c r="X13" s="18">
        <f t="shared" si="17"/>
        <v>6.5120000000000011E-2</v>
      </c>
      <c r="Y13" s="18"/>
      <c r="Z13" s="18"/>
      <c r="AA13" s="22">
        <f t="shared" si="18"/>
        <v>24.42</v>
      </c>
      <c r="AB13" s="22">
        <f t="shared" si="19"/>
        <v>24.42</v>
      </c>
      <c r="AC13" s="22">
        <f t="shared" si="20"/>
        <v>732.6</v>
      </c>
    </row>
    <row r="14" spans="1:29" x14ac:dyDescent="0.2">
      <c r="A14" s="1"/>
      <c r="B14" s="18">
        <v>12</v>
      </c>
      <c r="C14" s="18">
        <f>D14*战力关系!$B$2+E14*战力关系!$B$3+F14*战力关系!$B$4+G14*战力关系!$B$5+H14*战力关系!$B$6+I14*战力关系!$B$7+J14*战力关系!$B$8</f>
        <v>932</v>
      </c>
      <c r="D14" s="18">
        <v>40</v>
      </c>
      <c r="E14" s="18">
        <f t="shared" si="2"/>
        <v>40</v>
      </c>
      <c r="F14" s="18">
        <f t="shared" si="3"/>
        <v>1600</v>
      </c>
      <c r="G14" s="22">
        <f t="shared" si="4"/>
        <v>14</v>
      </c>
      <c r="H14" s="22">
        <f t="shared" si="5"/>
        <v>14</v>
      </c>
      <c r="I14" s="18">
        <f t="shared" si="6"/>
        <v>0.08</v>
      </c>
      <c r="J14" s="18">
        <f t="shared" si="7"/>
        <v>6.4000000000000001E-2</v>
      </c>
      <c r="K14" s="18"/>
      <c r="L14" s="18"/>
      <c r="M14" s="22">
        <f t="shared" si="8"/>
        <v>24</v>
      </c>
      <c r="N14" s="22">
        <f t="shared" si="9"/>
        <v>24</v>
      </c>
      <c r="O14" s="22">
        <f t="shared" si="10"/>
        <v>720</v>
      </c>
      <c r="P14" s="18">
        <v>1.1000000000000001</v>
      </c>
      <c r="Q14" s="18">
        <f>R14*战力关系!$B$2+S14*战力关系!$B$3+T14*战力关系!$B$4+U14*战力关系!$B$5+V14*战力关系!$B$6+W14*战力关系!$B$7+X14*战力关系!$B$8</f>
        <v>1025.2</v>
      </c>
      <c r="R14" s="18">
        <f t="shared" si="11"/>
        <v>44</v>
      </c>
      <c r="S14" s="18">
        <f t="shared" si="12"/>
        <v>44</v>
      </c>
      <c r="T14" s="18">
        <f t="shared" si="13"/>
        <v>1760.0000000000002</v>
      </c>
      <c r="U14" s="18">
        <f t="shared" si="14"/>
        <v>15.400000000000002</v>
      </c>
      <c r="V14" s="18">
        <f t="shared" si="15"/>
        <v>15.400000000000002</v>
      </c>
      <c r="W14" s="18">
        <f t="shared" si="16"/>
        <v>8.8000000000000009E-2</v>
      </c>
      <c r="X14" s="18">
        <f t="shared" si="17"/>
        <v>7.0400000000000004E-2</v>
      </c>
      <c r="Y14" s="18"/>
      <c r="Z14" s="18"/>
      <c r="AA14" s="22">
        <f t="shared" si="18"/>
        <v>26.400000000000002</v>
      </c>
      <c r="AB14" s="22">
        <f t="shared" si="19"/>
        <v>26.400000000000002</v>
      </c>
      <c r="AC14" s="22">
        <f t="shared" si="20"/>
        <v>792.00000000000011</v>
      </c>
    </row>
    <row r="15" spans="1:29" x14ac:dyDescent="0.2">
      <c r="A15" s="1"/>
      <c r="B15" s="18">
        <v>13</v>
      </c>
      <c r="C15" s="18">
        <f>D15*战力关系!$B$2+E15*战力关系!$B$3+F15*战力关系!$B$4+G15*战力关系!$B$5+H15*战力关系!$B$6+I15*战力关系!$B$7+J15*战力关系!$B$8</f>
        <v>1001.9</v>
      </c>
      <c r="D15" s="18">
        <v>43</v>
      </c>
      <c r="E15" s="18">
        <f t="shared" si="2"/>
        <v>43</v>
      </c>
      <c r="F15" s="18">
        <f t="shared" si="3"/>
        <v>1720</v>
      </c>
      <c r="G15" s="22">
        <f t="shared" si="4"/>
        <v>15.049999999999999</v>
      </c>
      <c r="H15" s="22">
        <f t="shared" si="5"/>
        <v>15.049999999999999</v>
      </c>
      <c r="I15" s="18">
        <f t="shared" si="6"/>
        <v>8.6000000000000007E-2</v>
      </c>
      <c r="J15" s="18">
        <f t="shared" si="7"/>
        <v>6.88E-2</v>
      </c>
      <c r="K15" s="18"/>
      <c r="L15" s="18"/>
      <c r="M15" s="22">
        <f t="shared" si="8"/>
        <v>25.8</v>
      </c>
      <c r="N15" s="22">
        <f t="shared" si="9"/>
        <v>25.8</v>
      </c>
      <c r="O15" s="22">
        <f t="shared" si="10"/>
        <v>774</v>
      </c>
      <c r="P15" s="18">
        <v>1.1000000000000001</v>
      </c>
      <c r="Q15" s="18">
        <f>R15*战力关系!$B$2+S15*战力关系!$B$3+T15*战力关系!$B$4+U15*战力关系!$B$5+V15*战力关系!$B$6+W15*战力关系!$B$7+X15*战力关系!$B$8</f>
        <v>1102.0899999999999</v>
      </c>
      <c r="R15" s="18">
        <f t="shared" si="11"/>
        <v>47.300000000000004</v>
      </c>
      <c r="S15" s="18">
        <f t="shared" si="12"/>
        <v>47.300000000000004</v>
      </c>
      <c r="T15" s="18">
        <f t="shared" si="13"/>
        <v>1892.0000000000002</v>
      </c>
      <c r="U15" s="18">
        <f t="shared" si="14"/>
        <v>16.555</v>
      </c>
      <c r="V15" s="18">
        <f t="shared" si="15"/>
        <v>16.555</v>
      </c>
      <c r="W15" s="18">
        <f t="shared" si="16"/>
        <v>9.4600000000000017E-2</v>
      </c>
      <c r="X15" s="18">
        <f t="shared" si="17"/>
        <v>7.5680000000000011E-2</v>
      </c>
      <c r="Y15" s="18"/>
      <c r="Z15" s="18"/>
      <c r="AA15" s="22">
        <f t="shared" si="18"/>
        <v>28.380000000000003</v>
      </c>
      <c r="AB15" s="22">
        <f t="shared" si="19"/>
        <v>28.380000000000003</v>
      </c>
      <c r="AC15" s="22">
        <f t="shared" si="20"/>
        <v>851.40000000000009</v>
      </c>
    </row>
    <row r="16" spans="1:29" x14ac:dyDescent="0.2">
      <c r="A16" s="1"/>
      <c r="B16" s="18">
        <v>14</v>
      </c>
      <c r="C16" s="18">
        <f>D16*战力关系!$B$2+E16*战力关系!$B$3+F16*战力关系!$B$4+G16*战力关系!$B$5+H16*战力关系!$B$6+I16*战力关系!$B$7+J16*战力关系!$B$8</f>
        <v>1071.8</v>
      </c>
      <c r="D16" s="18">
        <v>46</v>
      </c>
      <c r="E16" s="18">
        <f t="shared" si="2"/>
        <v>46</v>
      </c>
      <c r="F16" s="18">
        <f t="shared" si="3"/>
        <v>1840</v>
      </c>
      <c r="G16" s="22">
        <f t="shared" si="4"/>
        <v>16.099999999999998</v>
      </c>
      <c r="H16" s="22">
        <f t="shared" si="5"/>
        <v>16.099999999999998</v>
      </c>
      <c r="I16" s="18">
        <f t="shared" si="6"/>
        <v>9.1999999999999998E-2</v>
      </c>
      <c r="J16" s="18">
        <f t="shared" si="7"/>
        <v>7.3599999999999999E-2</v>
      </c>
      <c r="K16" s="18"/>
      <c r="L16" s="18"/>
      <c r="M16" s="22">
        <f t="shared" si="8"/>
        <v>27.599999999999998</v>
      </c>
      <c r="N16" s="22">
        <f t="shared" si="9"/>
        <v>27.599999999999998</v>
      </c>
      <c r="O16" s="22">
        <f t="shared" si="10"/>
        <v>828</v>
      </c>
      <c r="P16" s="18">
        <v>1.1000000000000001</v>
      </c>
      <c r="Q16" s="18">
        <f>R16*战力关系!$B$2+S16*战力关系!$B$3+T16*战力关系!$B$4+U16*战力关系!$B$5+V16*战力关系!$B$6+W16*战力关系!$B$7+X16*战力关系!$B$8</f>
        <v>1178.98</v>
      </c>
      <c r="R16" s="18">
        <f t="shared" si="11"/>
        <v>50.6</v>
      </c>
      <c r="S16" s="18">
        <f t="shared" si="12"/>
        <v>50.6</v>
      </c>
      <c r="T16" s="18">
        <f t="shared" si="13"/>
        <v>2024.0000000000002</v>
      </c>
      <c r="U16" s="18">
        <f t="shared" si="14"/>
        <v>17.71</v>
      </c>
      <c r="V16" s="18">
        <f t="shared" si="15"/>
        <v>17.71</v>
      </c>
      <c r="W16" s="18">
        <f t="shared" si="16"/>
        <v>0.10120000000000001</v>
      </c>
      <c r="X16" s="18">
        <f t="shared" si="17"/>
        <v>8.0960000000000004E-2</v>
      </c>
      <c r="Y16" s="18"/>
      <c r="Z16" s="18"/>
      <c r="AA16" s="22">
        <f t="shared" si="18"/>
        <v>30.36</v>
      </c>
      <c r="AB16" s="22">
        <f t="shared" si="19"/>
        <v>30.36</v>
      </c>
      <c r="AC16" s="22">
        <f t="shared" si="20"/>
        <v>910.80000000000007</v>
      </c>
    </row>
    <row r="17" spans="1:29" x14ac:dyDescent="0.2">
      <c r="A17" s="1"/>
      <c r="B17" s="18">
        <v>15</v>
      </c>
      <c r="C17" s="18">
        <f>D17*战力关系!$B$2+E17*战力关系!$B$3+F17*战力关系!$B$4+G17*战力关系!$B$5+H17*战力关系!$B$6+I17*战力关系!$B$7+J17*战力关系!$B$8</f>
        <v>1259.3</v>
      </c>
      <c r="D17" s="18">
        <v>49</v>
      </c>
      <c r="E17" s="18">
        <f t="shared" si="2"/>
        <v>49</v>
      </c>
      <c r="F17" s="18">
        <f t="shared" si="3"/>
        <v>1960</v>
      </c>
      <c r="G17" s="22">
        <f>D17*0.5</f>
        <v>24.5</v>
      </c>
      <c r="H17" s="22">
        <f t="shared" si="5"/>
        <v>24.5</v>
      </c>
      <c r="I17" s="18">
        <f>D17*0.003</f>
        <v>0.14699999999999999</v>
      </c>
      <c r="J17" s="18">
        <f>D17*0.0024</f>
        <v>0.1176</v>
      </c>
      <c r="K17" s="18"/>
      <c r="L17" s="18"/>
      <c r="M17" s="22">
        <f t="shared" si="8"/>
        <v>29.4</v>
      </c>
      <c r="N17" s="22">
        <f t="shared" si="9"/>
        <v>29.4</v>
      </c>
      <c r="O17" s="22">
        <f t="shared" si="10"/>
        <v>882</v>
      </c>
      <c r="P17" s="18">
        <v>1.1000000000000001</v>
      </c>
      <c r="Q17" s="18">
        <f>R17*战力关系!$B$2+S17*战力关系!$B$3+T17*战力关系!$B$4+U17*战力关系!$B$5+V17*战力关系!$B$6+W17*战力关系!$B$7+X17*战力关系!$B$8</f>
        <v>1385.23</v>
      </c>
      <c r="R17" s="18">
        <f t="shared" si="11"/>
        <v>53.900000000000006</v>
      </c>
      <c r="S17" s="18">
        <f t="shared" si="12"/>
        <v>53.900000000000006</v>
      </c>
      <c r="T17" s="18">
        <f t="shared" si="13"/>
        <v>2156</v>
      </c>
      <c r="U17" s="18">
        <f t="shared" si="14"/>
        <v>26.950000000000003</v>
      </c>
      <c r="V17" s="18">
        <f t="shared" si="15"/>
        <v>26.950000000000003</v>
      </c>
      <c r="W17" s="18">
        <f t="shared" si="16"/>
        <v>0.16170000000000001</v>
      </c>
      <c r="X17" s="18">
        <f t="shared" si="17"/>
        <v>0.12936</v>
      </c>
      <c r="Y17" s="18"/>
      <c r="Z17" s="18"/>
      <c r="AA17" s="22">
        <f t="shared" si="18"/>
        <v>32.340000000000003</v>
      </c>
      <c r="AB17" s="22">
        <f t="shared" si="19"/>
        <v>32.340000000000003</v>
      </c>
      <c r="AC17" s="22">
        <f t="shared" si="20"/>
        <v>970.2</v>
      </c>
    </row>
    <row r="18" spans="1:29" x14ac:dyDescent="0.2">
      <c r="A18" s="1"/>
      <c r="B18" s="18">
        <v>16</v>
      </c>
      <c r="C18" s="18">
        <f>D18*战力关系!$B$2+E18*战力关系!$B$3+F18*战力关系!$B$4+G18*战力关系!$B$5+H18*战力关系!$B$6+I18*战力关系!$B$7+J18*战力关系!$B$8</f>
        <v>1336.4</v>
      </c>
      <c r="D18" s="18">
        <v>52</v>
      </c>
      <c r="E18" s="18">
        <f t="shared" si="2"/>
        <v>52</v>
      </c>
      <c r="F18" s="18">
        <f t="shared" si="3"/>
        <v>2080</v>
      </c>
      <c r="G18" s="22">
        <f>D18*0.5</f>
        <v>26</v>
      </c>
      <c r="H18" s="22">
        <f t="shared" si="5"/>
        <v>26</v>
      </c>
      <c r="I18" s="18">
        <f>D18*0.003</f>
        <v>0.156</v>
      </c>
      <c r="J18" s="18">
        <f>D18*0.0024</f>
        <v>0.12479999999999999</v>
      </c>
      <c r="K18" s="18"/>
      <c r="L18" s="18"/>
      <c r="M18" s="22">
        <f t="shared" si="8"/>
        <v>31.2</v>
      </c>
      <c r="N18" s="22">
        <f t="shared" si="9"/>
        <v>31.2</v>
      </c>
      <c r="O18" s="22">
        <f t="shared" si="10"/>
        <v>936</v>
      </c>
      <c r="P18" s="18">
        <v>1.2</v>
      </c>
      <c r="Q18" s="18">
        <f>R18*战力关系!$B$2+S18*战力关系!$B$3+T18*战力关系!$B$4+U18*战力关系!$B$5+V18*战力关系!$B$6+W18*战力关系!$B$7+X18*战力关系!$B$8</f>
        <v>1603.6799999999998</v>
      </c>
      <c r="R18" s="18">
        <f t="shared" si="11"/>
        <v>62.4</v>
      </c>
      <c r="S18" s="18">
        <f t="shared" si="12"/>
        <v>62.4</v>
      </c>
      <c r="T18" s="18">
        <f t="shared" si="13"/>
        <v>2496</v>
      </c>
      <c r="U18" s="18">
        <f t="shared" si="14"/>
        <v>31.2</v>
      </c>
      <c r="V18" s="18">
        <f t="shared" si="15"/>
        <v>31.2</v>
      </c>
      <c r="W18" s="18">
        <f t="shared" si="16"/>
        <v>0.18720000000000001</v>
      </c>
      <c r="X18" s="18">
        <f t="shared" si="17"/>
        <v>0.14975999999999998</v>
      </c>
      <c r="Y18" s="18"/>
      <c r="Z18" s="18"/>
      <c r="AA18" s="22">
        <f t="shared" si="18"/>
        <v>37.44</v>
      </c>
      <c r="AB18" s="22">
        <f t="shared" si="19"/>
        <v>37.44</v>
      </c>
      <c r="AC18" s="22">
        <f t="shared" si="20"/>
        <v>1123.2</v>
      </c>
    </row>
    <row r="19" spans="1:29" x14ac:dyDescent="0.2">
      <c r="A19" s="1"/>
      <c r="B19" s="18">
        <v>17</v>
      </c>
      <c r="C19" s="18">
        <f>D19*战力关系!$B$2+E19*战力关系!$B$3+F19*战力关系!$B$4+G19*战力关系!$B$5+H19*战力关系!$B$6+I19*战力关系!$B$7+J19*战力关系!$B$8</f>
        <v>1413.5</v>
      </c>
      <c r="D19" s="18">
        <v>55</v>
      </c>
      <c r="E19" s="18">
        <f t="shared" si="2"/>
        <v>55</v>
      </c>
      <c r="F19" s="18">
        <f t="shared" si="3"/>
        <v>2200</v>
      </c>
      <c r="G19" s="22">
        <f t="shared" ref="G19:G21" si="21">D19*0.5</f>
        <v>27.5</v>
      </c>
      <c r="H19" s="22">
        <f t="shared" si="5"/>
        <v>27.5</v>
      </c>
      <c r="I19" s="18">
        <f t="shared" ref="I19:I21" si="22">D19*0.003</f>
        <v>0.16500000000000001</v>
      </c>
      <c r="J19" s="18">
        <f t="shared" ref="J19:J22" si="23">D19*0.0024</f>
        <v>0.13199999999999998</v>
      </c>
      <c r="K19" s="18"/>
      <c r="L19" s="18"/>
      <c r="M19" s="22">
        <f t="shared" si="8"/>
        <v>33</v>
      </c>
      <c r="N19" s="22">
        <f t="shared" si="9"/>
        <v>33</v>
      </c>
      <c r="O19" s="22">
        <f t="shared" si="10"/>
        <v>990</v>
      </c>
      <c r="P19" s="18">
        <v>1.2</v>
      </c>
      <c r="Q19" s="18">
        <f>R19*战力关系!$B$2+S19*战力关系!$B$3+T19*战力关系!$B$4+U19*战力关系!$B$5+V19*战力关系!$B$6+W19*战力关系!$B$7+X19*战力关系!$B$8</f>
        <v>1696.2</v>
      </c>
      <c r="R19" s="18">
        <f t="shared" si="11"/>
        <v>66</v>
      </c>
      <c r="S19" s="18">
        <f t="shared" si="12"/>
        <v>66</v>
      </c>
      <c r="T19" s="18">
        <f t="shared" si="13"/>
        <v>2640</v>
      </c>
      <c r="U19" s="18">
        <f t="shared" si="14"/>
        <v>33</v>
      </c>
      <c r="V19" s="18">
        <f t="shared" si="15"/>
        <v>33</v>
      </c>
      <c r="W19" s="18">
        <f t="shared" si="16"/>
        <v>0.19800000000000001</v>
      </c>
      <c r="X19" s="18">
        <f t="shared" si="17"/>
        <v>0.15839999999999996</v>
      </c>
      <c r="Y19" s="18"/>
      <c r="Z19" s="18"/>
      <c r="AA19" s="22">
        <f t="shared" si="18"/>
        <v>39.6</v>
      </c>
      <c r="AB19" s="22">
        <f t="shared" si="19"/>
        <v>39.6</v>
      </c>
      <c r="AC19" s="22">
        <f t="shared" si="20"/>
        <v>1188</v>
      </c>
    </row>
    <row r="20" spans="1:29" x14ac:dyDescent="0.2">
      <c r="A20" s="1"/>
      <c r="B20" s="18">
        <v>18</v>
      </c>
      <c r="C20" s="18">
        <f>D20*战力关系!$B$2+E20*战力关系!$B$3+F20*战力关系!$B$4+G20*战力关系!$B$5+H20*战力关系!$B$6+I20*战力关系!$B$7+J20*战力关系!$B$8</f>
        <v>1490.6</v>
      </c>
      <c r="D20" s="18">
        <v>58</v>
      </c>
      <c r="E20" s="18">
        <f t="shared" si="2"/>
        <v>58</v>
      </c>
      <c r="F20" s="18">
        <f t="shared" si="3"/>
        <v>2320</v>
      </c>
      <c r="G20" s="22">
        <f t="shared" si="21"/>
        <v>29</v>
      </c>
      <c r="H20" s="22">
        <f t="shared" si="5"/>
        <v>29</v>
      </c>
      <c r="I20" s="18">
        <f t="shared" si="22"/>
        <v>0.17400000000000002</v>
      </c>
      <c r="J20" s="18">
        <f t="shared" si="23"/>
        <v>0.13919999999999999</v>
      </c>
      <c r="K20" s="18"/>
      <c r="L20" s="18"/>
      <c r="M20" s="22">
        <f t="shared" si="8"/>
        <v>34.799999999999997</v>
      </c>
      <c r="N20" s="22">
        <f t="shared" si="9"/>
        <v>34.799999999999997</v>
      </c>
      <c r="O20" s="22">
        <f t="shared" si="10"/>
        <v>1044</v>
      </c>
      <c r="P20" s="18">
        <v>1.2</v>
      </c>
      <c r="Q20" s="18">
        <f>R20*战力关系!$B$2+S20*战力关系!$B$3+T20*战力关系!$B$4+U20*战力关系!$B$5+V20*战力关系!$B$6+W20*战力关系!$B$7+X20*战力关系!$B$8</f>
        <v>1788.7200000000003</v>
      </c>
      <c r="R20" s="18">
        <f t="shared" si="11"/>
        <v>69.599999999999994</v>
      </c>
      <c r="S20" s="18">
        <f t="shared" si="12"/>
        <v>69.599999999999994</v>
      </c>
      <c r="T20" s="18">
        <f t="shared" si="13"/>
        <v>2784</v>
      </c>
      <c r="U20" s="18">
        <f t="shared" si="14"/>
        <v>34.799999999999997</v>
      </c>
      <c r="V20" s="18">
        <f t="shared" si="15"/>
        <v>34.799999999999997</v>
      </c>
      <c r="W20" s="18">
        <f t="shared" si="16"/>
        <v>0.20880000000000001</v>
      </c>
      <c r="X20" s="18">
        <f t="shared" si="17"/>
        <v>0.16703999999999999</v>
      </c>
      <c r="Y20" s="18"/>
      <c r="Z20" s="18"/>
      <c r="AA20" s="22">
        <f t="shared" si="18"/>
        <v>41.76</v>
      </c>
      <c r="AB20" s="22">
        <f t="shared" si="19"/>
        <v>41.76</v>
      </c>
      <c r="AC20" s="22">
        <f t="shared" si="20"/>
        <v>1252.8</v>
      </c>
    </row>
    <row r="21" spans="1:29" x14ac:dyDescent="0.2">
      <c r="A21" s="1"/>
      <c r="B21" s="18">
        <v>19</v>
      </c>
      <c r="C21" s="18">
        <f>D21*战力关系!$B$2+E21*战力关系!$B$3+F21*战力关系!$B$4+G21*战力关系!$B$5+H21*战力关系!$B$6+I21*战力关系!$B$7+J21*战力关系!$B$8</f>
        <v>1567.7</v>
      </c>
      <c r="D21" s="18">
        <v>61</v>
      </c>
      <c r="E21" s="18">
        <f t="shared" si="2"/>
        <v>61</v>
      </c>
      <c r="F21" s="18">
        <f t="shared" si="3"/>
        <v>2440</v>
      </c>
      <c r="G21" s="22">
        <f t="shared" si="21"/>
        <v>30.5</v>
      </c>
      <c r="H21" s="22">
        <f t="shared" si="5"/>
        <v>30.5</v>
      </c>
      <c r="I21" s="18">
        <f t="shared" si="22"/>
        <v>0.183</v>
      </c>
      <c r="J21" s="18">
        <f t="shared" si="23"/>
        <v>0.14639999999999997</v>
      </c>
      <c r="K21" s="18"/>
      <c r="L21" s="18"/>
      <c r="M21" s="22">
        <f t="shared" si="8"/>
        <v>36.6</v>
      </c>
      <c r="N21" s="22">
        <f t="shared" si="9"/>
        <v>36.6</v>
      </c>
      <c r="O21" s="22">
        <f t="shared" si="10"/>
        <v>1098</v>
      </c>
      <c r="P21" s="18">
        <v>1.2</v>
      </c>
      <c r="Q21" s="18">
        <f>R21*战力关系!$B$2+S21*战力关系!$B$3+T21*战力关系!$B$4+U21*战力关系!$B$5+V21*战力关系!$B$6+W21*战力关系!$B$7+X21*战力关系!$B$8</f>
        <v>1881.2399999999998</v>
      </c>
      <c r="R21" s="18">
        <f t="shared" si="11"/>
        <v>73.2</v>
      </c>
      <c r="S21" s="18">
        <f t="shared" si="12"/>
        <v>73.2</v>
      </c>
      <c r="T21" s="18">
        <f t="shared" si="13"/>
        <v>2928</v>
      </c>
      <c r="U21" s="18">
        <f t="shared" si="14"/>
        <v>36.6</v>
      </c>
      <c r="V21" s="18">
        <f t="shared" si="15"/>
        <v>36.6</v>
      </c>
      <c r="W21" s="18">
        <f t="shared" si="16"/>
        <v>0.21959999999999999</v>
      </c>
      <c r="X21" s="18">
        <f t="shared" si="17"/>
        <v>0.17567999999999998</v>
      </c>
      <c r="Y21" s="18"/>
      <c r="Z21" s="18"/>
      <c r="AA21" s="22">
        <f t="shared" si="18"/>
        <v>43.92</v>
      </c>
      <c r="AB21" s="22">
        <f t="shared" si="19"/>
        <v>43.92</v>
      </c>
      <c r="AC21" s="22">
        <f t="shared" si="20"/>
        <v>1317.6</v>
      </c>
    </row>
    <row r="22" spans="1:29" x14ac:dyDescent="0.2">
      <c r="A22" s="1"/>
      <c r="B22" s="18">
        <v>20</v>
      </c>
      <c r="C22" s="18">
        <f>D22*战力关系!$B$2+E22*战力关系!$B$3+F22*战力关系!$B$4+G22*战力关系!$B$5+H22*战力关系!$B$6+I22*战力关系!$B$7+J22*战力关系!$B$8</f>
        <v>1804.8</v>
      </c>
      <c r="D22" s="18">
        <v>64</v>
      </c>
      <c r="E22" s="18">
        <f t="shared" si="2"/>
        <v>64</v>
      </c>
      <c r="F22" s="18">
        <f t="shared" si="3"/>
        <v>2560</v>
      </c>
      <c r="G22" s="22">
        <f>D22*0.7</f>
        <v>44.8</v>
      </c>
      <c r="H22" s="22">
        <f t="shared" si="5"/>
        <v>44.8</v>
      </c>
      <c r="I22" s="18">
        <f t="shared" ref="I22:I42" si="24">D22*0.004</f>
        <v>0.25600000000000001</v>
      </c>
      <c r="J22" s="18">
        <f t="shared" si="23"/>
        <v>0.15359999999999999</v>
      </c>
      <c r="K22" s="18"/>
      <c r="L22" s="18"/>
      <c r="M22" s="22">
        <f t="shared" si="8"/>
        <v>38.4</v>
      </c>
      <c r="N22" s="22">
        <f t="shared" si="9"/>
        <v>38.4</v>
      </c>
      <c r="O22" s="22">
        <f t="shared" si="10"/>
        <v>1152</v>
      </c>
      <c r="P22" s="18">
        <v>1.2</v>
      </c>
      <c r="Q22" s="18">
        <f>R22*战力关系!$B$2+S22*战力关系!$B$3+T22*战力关系!$B$4+U22*战力关系!$B$5+V22*战力关系!$B$6+W22*战力关系!$B$7+X22*战力关系!$B$8</f>
        <v>2165.7599999999998</v>
      </c>
      <c r="R22" s="18">
        <f t="shared" si="11"/>
        <v>76.8</v>
      </c>
      <c r="S22" s="18">
        <f t="shared" si="12"/>
        <v>76.8</v>
      </c>
      <c r="T22" s="18">
        <f t="shared" si="13"/>
        <v>3072</v>
      </c>
      <c r="U22" s="18">
        <f t="shared" si="14"/>
        <v>53.76</v>
      </c>
      <c r="V22" s="18">
        <f t="shared" si="15"/>
        <v>53.76</v>
      </c>
      <c r="W22" s="18">
        <f t="shared" si="16"/>
        <v>0.30719999999999997</v>
      </c>
      <c r="X22" s="18">
        <f t="shared" si="17"/>
        <v>0.18431999999999998</v>
      </c>
      <c r="Y22" s="18"/>
      <c r="Z22" s="18"/>
      <c r="AA22" s="22">
        <f t="shared" si="18"/>
        <v>46.08</v>
      </c>
      <c r="AB22" s="22">
        <f t="shared" si="19"/>
        <v>46.08</v>
      </c>
      <c r="AC22" s="22">
        <f t="shared" si="20"/>
        <v>1382.3999999999999</v>
      </c>
    </row>
    <row r="23" spans="1:29" x14ac:dyDescent="0.2">
      <c r="A23" s="1"/>
      <c r="B23" s="18">
        <v>21</v>
      </c>
      <c r="C23" s="18">
        <f>D23*战力关系!$B$2+E23*战力关系!$B$3+F23*战力关系!$B$4+G23*战力关系!$B$5+H23*战力关系!$B$6+I23*战力关系!$B$7+J23*战力关系!$B$8</f>
        <v>1876</v>
      </c>
      <c r="D23" s="18">
        <v>67</v>
      </c>
      <c r="E23" s="18">
        <f t="shared" si="2"/>
        <v>67</v>
      </c>
      <c r="F23" s="18">
        <f t="shared" si="3"/>
        <v>2680</v>
      </c>
      <c r="G23" s="22">
        <f t="shared" ref="G23:G42" si="25">D23*0.7</f>
        <v>46.9</v>
      </c>
      <c r="H23" s="22">
        <f t="shared" si="5"/>
        <v>46.9</v>
      </c>
      <c r="I23" s="18">
        <f t="shared" si="24"/>
        <v>0.26800000000000002</v>
      </c>
      <c r="J23" s="18">
        <f t="shared" ref="J23:J42" si="26">D23*0.002</f>
        <v>0.13400000000000001</v>
      </c>
      <c r="K23" s="18"/>
      <c r="L23" s="18"/>
      <c r="M23" s="22">
        <f t="shared" si="8"/>
        <v>40.199999999999996</v>
      </c>
      <c r="N23" s="22">
        <f t="shared" si="9"/>
        <v>40.199999999999996</v>
      </c>
      <c r="O23" s="22">
        <f t="shared" si="10"/>
        <v>1206</v>
      </c>
      <c r="P23" s="18">
        <v>1.2</v>
      </c>
      <c r="Q23" s="18">
        <f>R23*战力关系!$B$2+S23*战力关系!$B$3+T23*战力关系!$B$4+U23*战力关系!$B$5+V23*战力关系!$B$6+W23*战力关系!$B$7+X23*战力关系!$B$8</f>
        <v>2251.2000000000003</v>
      </c>
      <c r="R23" s="18">
        <f t="shared" si="11"/>
        <v>80.399999999999991</v>
      </c>
      <c r="S23" s="18">
        <f t="shared" si="12"/>
        <v>80.399999999999991</v>
      </c>
      <c r="T23" s="18">
        <f t="shared" si="13"/>
        <v>3216</v>
      </c>
      <c r="U23" s="18">
        <f t="shared" si="14"/>
        <v>56.279999999999994</v>
      </c>
      <c r="V23" s="18">
        <f t="shared" si="15"/>
        <v>56.279999999999994</v>
      </c>
      <c r="W23" s="18">
        <f t="shared" si="16"/>
        <v>0.3216</v>
      </c>
      <c r="X23" s="18">
        <f t="shared" si="17"/>
        <v>0.1608</v>
      </c>
      <c r="Y23" s="18"/>
      <c r="Z23" s="18"/>
      <c r="AA23" s="22">
        <f t="shared" si="18"/>
        <v>48.239999999999995</v>
      </c>
      <c r="AB23" s="22">
        <f t="shared" si="19"/>
        <v>48.239999999999995</v>
      </c>
      <c r="AC23" s="22">
        <f t="shared" si="20"/>
        <v>1447.2</v>
      </c>
    </row>
    <row r="24" spans="1:29" x14ac:dyDescent="0.2">
      <c r="A24" s="1"/>
      <c r="B24" s="18">
        <v>22</v>
      </c>
      <c r="C24" s="18">
        <f>D24*战力关系!$B$2+E24*战力关系!$B$3+F24*战力关系!$B$4+G24*战力关系!$B$5+H24*战力关系!$B$6+I24*战力关系!$B$7+J24*战力关系!$B$8</f>
        <v>1960</v>
      </c>
      <c r="D24" s="18">
        <v>70</v>
      </c>
      <c r="E24" s="18">
        <f t="shared" si="2"/>
        <v>70</v>
      </c>
      <c r="F24" s="18">
        <f t="shared" si="3"/>
        <v>2800</v>
      </c>
      <c r="G24" s="22">
        <f t="shared" si="25"/>
        <v>49</v>
      </c>
      <c r="H24" s="22">
        <f t="shared" si="5"/>
        <v>49</v>
      </c>
      <c r="I24" s="18">
        <f t="shared" si="24"/>
        <v>0.28000000000000003</v>
      </c>
      <c r="J24" s="18">
        <f t="shared" si="26"/>
        <v>0.14000000000000001</v>
      </c>
      <c r="K24" s="18"/>
      <c r="L24" s="18"/>
      <c r="M24" s="22">
        <f t="shared" si="8"/>
        <v>42</v>
      </c>
      <c r="N24" s="22">
        <f t="shared" si="9"/>
        <v>42</v>
      </c>
      <c r="O24" s="22">
        <f t="shared" si="10"/>
        <v>1260</v>
      </c>
      <c r="P24" s="18">
        <v>1.2</v>
      </c>
      <c r="Q24" s="18">
        <f>R24*战力关系!$B$2+S24*战力关系!$B$3+T24*战力关系!$B$4+U24*战力关系!$B$5+V24*战力关系!$B$6+W24*战力关系!$B$7+X24*战力关系!$B$8</f>
        <v>2352</v>
      </c>
      <c r="R24" s="18">
        <f t="shared" si="11"/>
        <v>84</v>
      </c>
      <c r="S24" s="18">
        <f t="shared" si="12"/>
        <v>84</v>
      </c>
      <c r="T24" s="18">
        <f t="shared" si="13"/>
        <v>3360</v>
      </c>
      <c r="U24" s="18">
        <f t="shared" si="14"/>
        <v>58.8</v>
      </c>
      <c r="V24" s="18">
        <f t="shared" si="15"/>
        <v>58.8</v>
      </c>
      <c r="W24" s="18">
        <f t="shared" si="16"/>
        <v>0.33600000000000002</v>
      </c>
      <c r="X24" s="18">
        <f t="shared" si="17"/>
        <v>0.16800000000000001</v>
      </c>
      <c r="Y24" s="18"/>
      <c r="Z24" s="18"/>
      <c r="AA24" s="22">
        <f t="shared" si="18"/>
        <v>50.4</v>
      </c>
      <c r="AB24" s="22">
        <f t="shared" si="19"/>
        <v>50.4</v>
      </c>
      <c r="AC24" s="22">
        <f t="shared" si="20"/>
        <v>1512</v>
      </c>
    </row>
    <row r="25" spans="1:29" x14ac:dyDescent="0.2">
      <c r="A25" s="1"/>
      <c r="B25" s="18">
        <v>23</v>
      </c>
      <c r="C25" s="18">
        <f>D25*战力关系!$B$2+E25*战力关系!$B$3+F25*战力关系!$B$4+G25*战力关系!$B$5+H25*战力关系!$B$6+I25*战力关系!$B$7+J25*战力关系!$B$8</f>
        <v>2044</v>
      </c>
      <c r="D25" s="18">
        <v>73</v>
      </c>
      <c r="E25" s="18">
        <f t="shared" si="2"/>
        <v>73</v>
      </c>
      <c r="F25" s="18">
        <f t="shared" si="3"/>
        <v>2920</v>
      </c>
      <c r="G25" s="22">
        <f t="shared" si="25"/>
        <v>51.099999999999994</v>
      </c>
      <c r="H25" s="22">
        <f t="shared" si="5"/>
        <v>51.099999999999994</v>
      </c>
      <c r="I25" s="18">
        <f t="shared" si="24"/>
        <v>0.29199999999999998</v>
      </c>
      <c r="J25" s="18">
        <f t="shared" si="26"/>
        <v>0.14599999999999999</v>
      </c>
      <c r="K25" s="18"/>
      <c r="L25" s="18"/>
      <c r="M25" s="22">
        <f t="shared" si="8"/>
        <v>43.8</v>
      </c>
      <c r="N25" s="22">
        <f t="shared" si="9"/>
        <v>43.8</v>
      </c>
      <c r="O25" s="22">
        <f t="shared" si="10"/>
        <v>1314</v>
      </c>
      <c r="P25" s="18">
        <v>1.2</v>
      </c>
      <c r="Q25" s="18">
        <f>R25*战力关系!$B$2+S25*战力关系!$B$3+T25*战力关系!$B$4+U25*战力关系!$B$5+V25*战力关系!$B$6+W25*战力关系!$B$7+X25*战力关系!$B$8</f>
        <v>2452.7999999999997</v>
      </c>
      <c r="R25" s="18">
        <f t="shared" si="11"/>
        <v>87.6</v>
      </c>
      <c r="S25" s="18">
        <f t="shared" si="12"/>
        <v>87.6</v>
      </c>
      <c r="T25" s="18">
        <f t="shared" si="13"/>
        <v>3504</v>
      </c>
      <c r="U25" s="18">
        <f t="shared" si="14"/>
        <v>61.319999999999993</v>
      </c>
      <c r="V25" s="18">
        <f t="shared" si="15"/>
        <v>61.319999999999993</v>
      </c>
      <c r="W25" s="18">
        <f t="shared" si="16"/>
        <v>0.35039999999999999</v>
      </c>
      <c r="X25" s="18">
        <f t="shared" si="17"/>
        <v>0.17519999999999999</v>
      </c>
      <c r="Y25" s="18"/>
      <c r="Z25" s="18"/>
      <c r="AA25" s="22">
        <f t="shared" si="18"/>
        <v>52.559999999999995</v>
      </c>
      <c r="AB25" s="22">
        <f t="shared" si="19"/>
        <v>52.559999999999995</v>
      </c>
      <c r="AC25" s="22">
        <f t="shared" si="20"/>
        <v>1576.8</v>
      </c>
    </row>
    <row r="26" spans="1:29" x14ac:dyDescent="0.2">
      <c r="A26" s="1"/>
      <c r="B26" s="18">
        <v>24</v>
      </c>
      <c r="C26" s="18">
        <f>D26*战力关系!$B$2+E26*战力关系!$B$3+F26*战力关系!$B$4+G26*战力关系!$B$5+H26*战力关系!$B$6+I26*战力关系!$B$7+J26*战力关系!$B$8</f>
        <v>2128</v>
      </c>
      <c r="D26" s="18">
        <v>76</v>
      </c>
      <c r="E26" s="18">
        <f t="shared" si="2"/>
        <v>76</v>
      </c>
      <c r="F26" s="18">
        <f t="shared" si="3"/>
        <v>3040</v>
      </c>
      <c r="G26" s="22">
        <f t="shared" si="25"/>
        <v>53.199999999999996</v>
      </c>
      <c r="H26" s="22">
        <f t="shared" si="5"/>
        <v>53.199999999999996</v>
      </c>
      <c r="I26" s="18">
        <f t="shared" si="24"/>
        <v>0.30399999999999999</v>
      </c>
      <c r="J26" s="18">
        <f t="shared" si="26"/>
        <v>0.152</v>
      </c>
      <c r="K26" s="18"/>
      <c r="L26" s="18"/>
      <c r="M26" s="22">
        <f t="shared" si="8"/>
        <v>45.6</v>
      </c>
      <c r="N26" s="22">
        <f t="shared" si="9"/>
        <v>45.6</v>
      </c>
      <c r="O26" s="22">
        <f t="shared" si="10"/>
        <v>1368</v>
      </c>
      <c r="P26" s="18">
        <v>1.2</v>
      </c>
      <c r="Q26" s="18">
        <f>R26*战力关系!$B$2+S26*战力关系!$B$3+T26*战力关系!$B$4+U26*战力关系!$B$5+V26*战力关系!$B$6+W26*战力关系!$B$7+X26*战力关系!$B$8</f>
        <v>2553.5999999999995</v>
      </c>
      <c r="R26" s="18">
        <f t="shared" si="11"/>
        <v>91.2</v>
      </c>
      <c r="S26" s="18">
        <f t="shared" si="12"/>
        <v>91.2</v>
      </c>
      <c r="T26" s="18">
        <f t="shared" si="13"/>
        <v>3648</v>
      </c>
      <c r="U26" s="18">
        <f t="shared" si="14"/>
        <v>63.839999999999989</v>
      </c>
      <c r="V26" s="18">
        <f t="shared" si="15"/>
        <v>63.839999999999989</v>
      </c>
      <c r="W26" s="18">
        <f t="shared" si="16"/>
        <v>0.36479999999999996</v>
      </c>
      <c r="X26" s="18">
        <f t="shared" si="17"/>
        <v>0.18239999999999998</v>
      </c>
      <c r="Y26" s="18"/>
      <c r="Z26" s="18"/>
      <c r="AA26" s="22">
        <f t="shared" si="18"/>
        <v>54.72</v>
      </c>
      <c r="AB26" s="22">
        <f t="shared" si="19"/>
        <v>54.72</v>
      </c>
      <c r="AC26" s="22">
        <f t="shared" si="20"/>
        <v>1641.6</v>
      </c>
    </row>
    <row r="27" spans="1:29" x14ac:dyDescent="0.2">
      <c r="A27" s="1"/>
      <c r="B27" s="18">
        <v>25</v>
      </c>
      <c r="C27" s="18">
        <f>D27*战力关系!$B$2+E27*战力关系!$B$3+F27*战力关系!$B$4+G27*战力关系!$B$5+H27*战力关系!$B$6+I27*战力关系!$B$7+J27*战力关系!$B$8</f>
        <v>2212</v>
      </c>
      <c r="D27" s="18">
        <v>79</v>
      </c>
      <c r="E27" s="18">
        <f t="shared" si="2"/>
        <v>79</v>
      </c>
      <c r="F27" s="18">
        <f t="shared" si="3"/>
        <v>3160</v>
      </c>
      <c r="G27" s="22">
        <f t="shared" si="25"/>
        <v>55.3</v>
      </c>
      <c r="H27" s="22">
        <f t="shared" si="5"/>
        <v>55.3</v>
      </c>
      <c r="I27" s="18">
        <f t="shared" si="24"/>
        <v>0.316</v>
      </c>
      <c r="J27" s="18">
        <f t="shared" si="26"/>
        <v>0.158</v>
      </c>
      <c r="K27" s="18"/>
      <c r="L27" s="18"/>
      <c r="M27" s="22">
        <f t="shared" si="8"/>
        <v>47.4</v>
      </c>
      <c r="N27" s="22">
        <f t="shared" si="9"/>
        <v>47.4</v>
      </c>
      <c r="O27" s="22">
        <f t="shared" si="10"/>
        <v>1422</v>
      </c>
      <c r="P27" s="18">
        <v>1.2</v>
      </c>
      <c r="Q27" s="18">
        <f>R27*战力关系!$B$2+S27*战力关系!$B$3+T27*战力关系!$B$4+U27*战力关系!$B$5+V27*战力关系!$B$6+W27*战力关系!$B$7+X27*战力关系!$B$8</f>
        <v>2654.4</v>
      </c>
      <c r="R27" s="18">
        <f t="shared" si="11"/>
        <v>94.8</v>
      </c>
      <c r="S27" s="18">
        <f t="shared" si="12"/>
        <v>94.8</v>
      </c>
      <c r="T27" s="18">
        <f t="shared" si="13"/>
        <v>3792</v>
      </c>
      <c r="U27" s="18">
        <f t="shared" si="14"/>
        <v>66.36</v>
      </c>
      <c r="V27" s="18">
        <f t="shared" si="15"/>
        <v>66.36</v>
      </c>
      <c r="W27" s="18">
        <f t="shared" si="16"/>
        <v>0.37919999999999998</v>
      </c>
      <c r="X27" s="18">
        <f t="shared" si="17"/>
        <v>0.18959999999999999</v>
      </c>
      <c r="Y27" s="18"/>
      <c r="Z27" s="18"/>
      <c r="AA27" s="22">
        <f t="shared" si="18"/>
        <v>56.879999999999995</v>
      </c>
      <c r="AB27" s="22">
        <f t="shared" si="19"/>
        <v>56.879999999999995</v>
      </c>
      <c r="AC27" s="22">
        <f t="shared" si="20"/>
        <v>1706.3999999999999</v>
      </c>
    </row>
    <row r="28" spans="1:29" x14ac:dyDescent="0.2">
      <c r="A28" s="1"/>
      <c r="B28" s="18">
        <v>26</v>
      </c>
      <c r="C28" s="18">
        <f>D28*战力关系!$B$2+E28*战力关系!$B$3+F28*战力关系!$B$4+G28*战力关系!$B$5+H28*战力关系!$B$6+I28*战力关系!$B$7+J28*战力关系!$B$8</f>
        <v>2296</v>
      </c>
      <c r="D28" s="18">
        <v>82</v>
      </c>
      <c r="E28" s="18">
        <f t="shared" si="2"/>
        <v>82</v>
      </c>
      <c r="F28" s="18">
        <f t="shared" si="3"/>
        <v>3280</v>
      </c>
      <c r="G28" s="22">
        <f t="shared" si="25"/>
        <v>57.4</v>
      </c>
      <c r="H28" s="22">
        <f t="shared" si="5"/>
        <v>57.4</v>
      </c>
      <c r="I28" s="18">
        <f t="shared" si="24"/>
        <v>0.32800000000000001</v>
      </c>
      <c r="J28" s="18">
        <f t="shared" si="26"/>
        <v>0.16400000000000001</v>
      </c>
      <c r="K28" s="18"/>
      <c r="L28" s="18"/>
      <c r="M28" s="22">
        <f t="shared" si="8"/>
        <v>49.199999999999996</v>
      </c>
      <c r="N28" s="22">
        <f t="shared" si="9"/>
        <v>49.199999999999996</v>
      </c>
      <c r="O28" s="22">
        <f t="shared" si="10"/>
        <v>1476</v>
      </c>
      <c r="P28" s="18">
        <v>1.3</v>
      </c>
      <c r="Q28" s="18">
        <f>R28*战力关系!$B$2+S28*战力关系!$B$3+T28*战力关系!$B$4+U28*战力关系!$B$5+V28*战力关系!$B$6+W28*战力关系!$B$7+X28*战力关系!$B$8</f>
        <v>2984.7999999999997</v>
      </c>
      <c r="R28" s="18">
        <f t="shared" si="11"/>
        <v>106.60000000000001</v>
      </c>
      <c r="S28" s="18">
        <f t="shared" si="12"/>
        <v>106.60000000000001</v>
      </c>
      <c r="T28" s="18">
        <f t="shared" si="13"/>
        <v>4264</v>
      </c>
      <c r="U28" s="18">
        <f t="shared" si="14"/>
        <v>74.62</v>
      </c>
      <c r="V28" s="18">
        <f t="shared" si="15"/>
        <v>74.62</v>
      </c>
      <c r="W28" s="18">
        <f t="shared" si="16"/>
        <v>0.42640000000000006</v>
      </c>
      <c r="X28" s="18">
        <f t="shared" si="17"/>
        <v>0.21320000000000003</v>
      </c>
      <c r="Y28" s="18"/>
      <c r="Z28" s="18"/>
      <c r="AA28" s="22">
        <f t="shared" si="18"/>
        <v>63.959999999999994</v>
      </c>
      <c r="AB28" s="22">
        <f t="shared" si="19"/>
        <v>63.959999999999994</v>
      </c>
      <c r="AC28" s="22">
        <f t="shared" si="20"/>
        <v>1918.8</v>
      </c>
    </row>
    <row r="29" spans="1:29" x14ac:dyDescent="0.2">
      <c r="A29" s="1"/>
      <c r="B29" s="18">
        <v>27</v>
      </c>
      <c r="C29" s="18">
        <f>D29*战力关系!$B$2+E29*战力关系!$B$3+F29*战力关系!$B$4+G29*战力关系!$B$5+H29*战力关系!$B$6+I29*战力关系!$B$7+J29*战力关系!$B$8</f>
        <v>2380</v>
      </c>
      <c r="D29" s="18">
        <v>85</v>
      </c>
      <c r="E29" s="18">
        <f t="shared" si="2"/>
        <v>85</v>
      </c>
      <c r="F29" s="18">
        <f t="shared" si="3"/>
        <v>3400</v>
      </c>
      <c r="G29" s="22">
        <f t="shared" si="25"/>
        <v>59.499999999999993</v>
      </c>
      <c r="H29" s="22">
        <f t="shared" si="5"/>
        <v>59.499999999999993</v>
      </c>
      <c r="I29" s="18">
        <f t="shared" si="24"/>
        <v>0.34</v>
      </c>
      <c r="J29" s="18">
        <f t="shared" si="26"/>
        <v>0.17</v>
      </c>
      <c r="K29" s="18"/>
      <c r="L29" s="18"/>
      <c r="M29" s="22">
        <f t="shared" si="8"/>
        <v>51</v>
      </c>
      <c r="N29" s="22">
        <f t="shared" si="9"/>
        <v>51</v>
      </c>
      <c r="O29" s="22">
        <f t="shared" si="10"/>
        <v>1530</v>
      </c>
      <c r="P29" s="18">
        <v>1.3</v>
      </c>
      <c r="Q29" s="18">
        <f>R29*战力关系!$B$2+S29*战力关系!$B$3+T29*战力关系!$B$4+U29*战力关系!$B$5+V29*战力关系!$B$6+W29*战力关系!$B$7+X29*战力关系!$B$8</f>
        <v>3094</v>
      </c>
      <c r="R29" s="18">
        <f t="shared" si="11"/>
        <v>110.5</v>
      </c>
      <c r="S29" s="18">
        <f t="shared" si="12"/>
        <v>110.5</v>
      </c>
      <c r="T29" s="18">
        <f t="shared" si="13"/>
        <v>4420</v>
      </c>
      <c r="U29" s="18">
        <f t="shared" si="14"/>
        <v>77.349999999999994</v>
      </c>
      <c r="V29" s="18">
        <f t="shared" si="15"/>
        <v>77.349999999999994</v>
      </c>
      <c r="W29" s="18">
        <f t="shared" si="16"/>
        <v>0.44200000000000006</v>
      </c>
      <c r="X29" s="18">
        <f t="shared" si="17"/>
        <v>0.22100000000000003</v>
      </c>
      <c r="Y29" s="18"/>
      <c r="Z29" s="18"/>
      <c r="AA29" s="22">
        <f t="shared" si="18"/>
        <v>66.3</v>
      </c>
      <c r="AB29" s="22">
        <f t="shared" si="19"/>
        <v>66.3</v>
      </c>
      <c r="AC29" s="22">
        <f t="shared" si="20"/>
        <v>1989</v>
      </c>
    </row>
    <row r="30" spans="1:29" x14ac:dyDescent="0.2">
      <c r="A30" s="1"/>
      <c r="B30" s="18">
        <v>28</v>
      </c>
      <c r="C30" s="18">
        <f>D30*战力关系!$B$2+E30*战力关系!$B$3+F30*战力关系!$B$4+G30*战力关系!$B$5+H30*战力关系!$B$6+I30*战力关系!$B$7+J30*战力关系!$B$8</f>
        <v>2464</v>
      </c>
      <c r="D30" s="18">
        <v>88</v>
      </c>
      <c r="E30" s="18">
        <f t="shared" si="2"/>
        <v>88</v>
      </c>
      <c r="F30" s="18">
        <f t="shared" si="3"/>
        <v>3520</v>
      </c>
      <c r="G30" s="22">
        <f t="shared" si="25"/>
        <v>61.599999999999994</v>
      </c>
      <c r="H30" s="22">
        <f t="shared" si="5"/>
        <v>61.599999999999994</v>
      </c>
      <c r="I30" s="18">
        <f t="shared" si="24"/>
        <v>0.35199999999999998</v>
      </c>
      <c r="J30" s="18">
        <f t="shared" si="26"/>
        <v>0.17599999999999999</v>
      </c>
      <c r="K30" s="18"/>
      <c r="L30" s="18"/>
      <c r="M30" s="22">
        <f t="shared" si="8"/>
        <v>52.8</v>
      </c>
      <c r="N30" s="22">
        <f t="shared" si="9"/>
        <v>52.8</v>
      </c>
      <c r="O30" s="22">
        <f t="shared" si="10"/>
        <v>1584</v>
      </c>
      <c r="P30" s="18">
        <v>1.3</v>
      </c>
      <c r="Q30" s="18">
        <f>R30*战力关系!$B$2+S30*战力关系!$B$3+T30*战力关系!$B$4+U30*战力关系!$B$5+V30*战力关系!$B$6+W30*战力关系!$B$7+X30*战力关系!$B$8</f>
        <v>3203.2000000000003</v>
      </c>
      <c r="R30" s="18">
        <f t="shared" si="11"/>
        <v>114.4</v>
      </c>
      <c r="S30" s="18">
        <f t="shared" si="12"/>
        <v>114.4</v>
      </c>
      <c r="T30" s="18">
        <f t="shared" si="13"/>
        <v>4576</v>
      </c>
      <c r="U30" s="18">
        <f t="shared" si="14"/>
        <v>80.08</v>
      </c>
      <c r="V30" s="18">
        <f t="shared" si="15"/>
        <v>80.08</v>
      </c>
      <c r="W30" s="18">
        <f t="shared" si="16"/>
        <v>0.45760000000000001</v>
      </c>
      <c r="X30" s="18">
        <f t="shared" si="17"/>
        <v>0.2288</v>
      </c>
      <c r="Y30" s="18"/>
      <c r="Z30" s="18"/>
      <c r="AA30" s="22">
        <f t="shared" si="18"/>
        <v>68.64</v>
      </c>
      <c r="AB30" s="22">
        <f t="shared" si="19"/>
        <v>68.64</v>
      </c>
      <c r="AC30" s="22">
        <f t="shared" si="20"/>
        <v>2059.2000000000003</v>
      </c>
    </row>
    <row r="31" spans="1:29" x14ac:dyDescent="0.2">
      <c r="A31" s="1"/>
      <c r="B31" s="18">
        <v>29</v>
      </c>
      <c r="C31" s="18">
        <f>D31*战力关系!$B$2+E31*战力关系!$B$3+F31*战力关系!$B$4+G31*战力关系!$B$5+H31*战力关系!$B$6+I31*战力关系!$B$7+J31*战力关系!$B$8</f>
        <v>2548</v>
      </c>
      <c r="D31" s="18">
        <v>91</v>
      </c>
      <c r="E31" s="18">
        <f t="shared" si="2"/>
        <v>91</v>
      </c>
      <c r="F31" s="18">
        <f t="shared" si="3"/>
        <v>3640</v>
      </c>
      <c r="G31" s="22">
        <f t="shared" si="25"/>
        <v>63.699999999999996</v>
      </c>
      <c r="H31" s="22">
        <f t="shared" si="5"/>
        <v>63.699999999999996</v>
      </c>
      <c r="I31" s="18">
        <f t="shared" si="24"/>
        <v>0.36399999999999999</v>
      </c>
      <c r="J31" s="18">
        <f t="shared" si="26"/>
        <v>0.182</v>
      </c>
      <c r="K31" s="18"/>
      <c r="L31" s="18"/>
      <c r="M31" s="22">
        <f t="shared" si="8"/>
        <v>54.6</v>
      </c>
      <c r="N31" s="22">
        <f t="shared" si="9"/>
        <v>54.6</v>
      </c>
      <c r="O31" s="22">
        <f t="shared" si="10"/>
        <v>1638</v>
      </c>
      <c r="P31" s="18">
        <v>1.3</v>
      </c>
      <c r="Q31" s="18">
        <f>R31*战力关系!$B$2+S31*战力关系!$B$3+T31*战力关系!$B$4+U31*战力关系!$B$5+V31*战力关系!$B$6+W31*战力关系!$B$7+X31*战力关系!$B$8</f>
        <v>3312.4000000000005</v>
      </c>
      <c r="R31" s="18">
        <f t="shared" si="11"/>
        <v>118.3</v>
      </c>
      <c r="S31" s="18">
        <f t="shared" si="12"/>
        <v>118.3</v>
      </c>
      <c r="T31" s="18">
        <f t="shared" si="13"/>
        <v>4732</v>
      </c>
      <c r="U31" s="18">
        <f t="shared" si="14"/>
        <v>82.81</v>
      </c>
      <c r="V31" s="18">
        <f t="shared" si="15"/>
        <v>82.81</v>
      </c>
      <c r="W31" s="18">
        <f t="shared" si="16"/>
        <v>0.47320000000000001</v>
      </c>
      <c r="X31" s="18">
        <f t="shared" si="17"/>
        <v>0.2366</v>
      </c>
      <c r="Y31" s="18"/>
      <c r="Z31" s="18"/>
      <c r="AA31" s="22">
        <f t="shared" si="18"/>
        <v>70.98</v>
      </c>
      <c r="AB31" s="22">
        <f t="shared" si="19"/>
        <v>70.98</v>
      </c>
      <c r="AC31" s="22">
        <f t="shared" si="20"/>
        <v>2129.4</v>
      </c>
    </row>
    <row r="32" spans="1:29" x14ac:dyDescent="0.2">
      <c r="A32" s="1"/>
      <c r="B32" s="18">
        <v>30</v>
      </c>
      <c r="C32" s="18">
        <f>D32*战力关系!$B$2+E32*战力关系!$B$3+F32*战力关系!$B$4+G32*战力关系!$B$5+H32*战力关系!$B$6+I32*战力关系!$B$7+J32*战力关系!$B$8</f>
        <v>2632</v>
      </c>
      <c r="D32" s="18">
        <v>94</v>
      </c>
      <c r="E32" s="18">
        <f t="shared" si="2"/>
        <v>94</v>
      </c>
      <c r="F32" s="18">
        <f t="shared" si="3"/>
        <v>3760</v>
      </c>
      <c r="G32" s="22">
        <f t="shared" si="25"/>
        <v>65.8</v>
      </c>
      <c r="H32" s="22">
        <f t="shared" si="5"/>
        <v>65.8</v>
      </c>
      <c r="I32" s="18">
        <f t="shared" si="24"/>
        <v>0.376</v>
      </c>
      <c r="J32" s="18">
        <f t="shared" si="26"/>
        <v>0.188</v>
      </c>
      <c r="K32" s="18"/>
      <c r="L32" s="18"/>
      <c r="M32" s="22">
        <f t="shared" si="8"/>
        <v>56.4</v>
      </c>
      <c r="N32" s="22">
        <f t="shared" si="9"/>
        <v>56.4</v>
      </c>
      <c r="O32" s="22">
        <f t="shared" si="10"/>
        <v>1692</v>
      </c>
      <c r="P32" s="18">
        <v>1.3</v>
      </c>
      <c r="Q32" s="18">
        <f>R32*战力关系!$B$2+S32*战力关系!$B$3+T32*战力关系!$B$4+U32*战力关系!$B$5+V32*战力关系!$B$6+W32*战力关系!$B$7+X32*战力关系!$B$8</f>
        <v>3421.6</v>
      </c>
      <c r="R32" s="18">
        <f t="shared" si="11"/>
        <v>122.2</v>
      </c>
      <c r="S32" s="18">
        <f t="shared" si="12"/>
        <v>122.2</v>
      </c>
      <c r="T32" s="18">
        <f t="shared" si="13"/>
        <v>4888</v>
      </c>
      <c r="U32" s="18">
        <f t="shared" si="14"/>
        <v>85.54</v>
      </c>
      <c r="V32" s="18">
        <f t="shared" si="15"/>
        <v>85.54</v>
      </c>
      <c r="W32" s="18">
        <f t="shared" si="16"/>
        <v>0.48880000000000001</v>
      </c>
      <c r="X32" s="18">
        <f t="shared" si="17"/>
        <v>0.24440000000000001</v>
      </c>
      <c r="Y32" s="18"/>
      <c r="Z32" s="18"/>
      <c r="AA32" s="22">
        <f t="shared" si="18"/>
        <v>73.320000000000007</v>
      </c>
      <c r="AB32" s="22">
        <f t="shared" si="19"/>
        <v>73.320000000000007</v>
      </c>
      <c r="AC32" s="22">
        <f t="shared" si="20"/>
        <v>2199.6</v>
      </c>
    </row>
    <row r="33" spans="1:29" x14ac:dyDescent="0.2">
      <c r="A33" s="1"/>
      <c r="B33" s="18">
        <v>31</v>
      </c>
      <c r="C33" s="18">
        <f>D33*战力关系!$B$2+E33*战力关系!$B$3+F33*战力关系!$B$4+G33*战力关系!$B$5+H33*战力关系!$B$6+I33*战力关系!$B$7+J33*战力关系!$B$8</f>
        <v>2716</v>
      </c>
      <c r="D33" s="18">
        <v>97</v>
      </c>
      <c r="E33" s="18">
        <f t="shared" si="2"/>
        <v>97</v>
      </c>
      <c r="F33" s="18">
        <f t="shared" si="3"/>
        <v>3880</v>
      </c>
      <c r="G33" s="22">
        <f t="shared" si="25"/>
        <v>67.899999999999991</v>
      </c>
      <c r="H33" s="22">
        <f t="shared" si="5"/>
        <v>67.899999999999991</v>
      </c>
      <c r="I33" s="18">
        <f t="shared" si="24"/>
        <v>0.38800000000000001</v>
      </c>
      <c r="J33" s="18">
        <f t="shared" si="26"/>
        <v>0.19400000000000001</v>
      </c>
      <c r="K33" s="18"/>
      <c r="L33" s="18"/>
      <c r="M33" s="22">
        <f t="shared" si="8"/>
        <v>58.199999999999996</v>
      </c>
      <c r="N33" s="22">
        <f t="shared" si="9"/>
        <v>58.199999999999996</v>
      </c>
      <c r="O33" s="22">
        <f t="shared" si="10"/>
        <v>1746</v>
      </c>
      <c r="P33" s="18">
        <v>1.3</v>
      </c>
      <c r="Q33" s="18">
        <f>R33*战力关系!$B$2+S33*战力关系!$B$3+T33*战力关系!$B$4+U33*战力关系!$B$5+V33*战力关系!$B$6+W33*战力关系!$B$7+X33*战力关系!$B$8</f>
        <v>3530.7999999999997</v>
      </c>
      <c r="R33" s="18">
        <f t="shared" si="11"/>
        <v>126.10000000000001</v>
      </c>
      <c r="S33" s="18">
        <f t="shared" si="12"/>
        <v>126.10000000000001</v>
      </c>
      <c r="T33" s="18">
        <f t="shared" si="13"/>
        <v>5044</v>
      </c>
      <c r="U33" s="18">
        <f t="shared" si="14"/>
        <v>88.27</v>
      </c>
      <c r="V33" s="18">
        <f t="shared" si="15"/>
        <v>88.27</v>
      </c>
      <c r="W33" s="18">
        <f t="shared" si="16"/>
        <v>0.50440000000000007</v>
      </c>
      <c r="X33" s="18">
        <f t="shared" si="17"/>
        <v>0.25220000000000004</v>
      </c>
      <c r="Y33" s="18"/>
      <c r="Z33" s="18"/>
      <c r="AA33" s="22">
        <f t="shared" si="18"/>
        <v>75.66</v>
      </c>
      <c r="AB33" s="22">
        <f t="shared" si="19"/>
        <v>75.66</v>
      </c>
      <c r="AC33" s="22">
        <f t="shared" si="20"/>
        <v>2269.8000000000002</v>
      </c>
    </row>
    <row r="34" spans="1:29" x14ac:dyDescent="0.2">
      <c r="A34" s="1"/>
      <c r="B34" s="18">
        <v>32</v>
      </c>
      <c r="C34" s="18">
        <f>D34*战力关系!$B$2+E34*战力关系!$B$3+F34*战力关系!$B$4+G34*战力关系!$B$5+H34*战力关系!$B$6+I34*战力关系!$B$7+J34*战力关系!$B$8</f>
        <v>2800</v>
      </c>
      <c r="D34" s="18">
        <v>100</v>
      </c>
      <c r="E34" s="18">
        <f t="shared" si="2"/>
        <v>100</v>
      </c>
      <c r="F34" s="18">
        <f t="shared" si="3"/>
        <v>4000</v>
      </c>
      <c r="G34" s="22">
        <f t="shared" si="25"/>
        <v>70</v>
      </c>
      <c r="H34" s="22">
        <f t="shared" si="5"/>
        <v>70</v>
      </c>
      <c r="I34" s="18">
        <f t="shared" si="24"/>
        <v>0.4</v>
      </c>
      <c r="J34" s="18">
        <f t="shared" si="26"/>
        <v>0.2</v>
      </c>
      <c r="K34" s="18"/>
      <c r="L34" s="18"/>
      <c r="M34" s="22">
        <f t="shared" si="8"/>
        <v>60</v>
      </c>
      <c r="N34" s="22">
        <f t="shared" si="9"/>
        <v>60</v>
      </c>
      <c r="O34" s="22">
        <f t="shared" si="10"/>
        <v>1800</v>
      </c>
      <c r="P34" s="18">
        <v>1.4</v>
      </c>
      <c r="Q34" s="18">
        <f>R34*战力关系!$B$2+S34*战力关系!$B$3+T34*战力关系!$B$4+U34*战力关系!$B$5+V34*战力关系!$B$6+W34*战力关系!$B$7+X34*战力关系!$B$8</f>
        <v>3920</v>
      </c>
      <c r="R34" s="18">
        <f t="shared" si="11"/>
        <v>140</v>
      </c>
      <c r="S34" s="18">
        <f t="shared" si="12"/>
        <v>140</v>
      </c>
      <c r="T34" s="18">
        <f t="shared" si="13"/>
        <v>5600</v>
      </c>
      <c r="U34" s="18">
        <f t="shared" si="14"/>
        <v>98</v>
      </c>
      <c r="V34" s="18">
        <f t="shared" si="15"/>
        <v>98</v>
      </c>
      <c r="W34" s="18">
        <f t="shared" si="16"/>
        <v>0.55999999999999994</v>
      </c>
      <c r="X34" s="18">
        <f t="shared" si="17"/>
        <v>0.27999999999999997</v>
      </c>
      <c r="Y34" s="18"/>
      <c r="Z34" s="18"/>
      <c r="AA34" s="22">
        <f t="shared" si="18"/>
        <v>84</v>
      </c>
      <c r="AB34" s="22">
        <f t="shared" si="19"/>
        <v>84</v>
      </c>
      <c r="AC34" s="22">
        <f t="shared" si="20"/>
        <v>2520</v>
      </c>
    </row>
    <row r="35" spans="1:29" x14ac:dyDescent="0.2">
      <c r="A35" s="1"/>
      <c r="B35" s="18">
        <v>33</v>
      </c>
      <c r="C35" s="18">
        <f>D35*战力关系!$B$2+E35*战力关系!$B$3+F35*战力关系!$B$4+G35*战力关系!$B$5+H35*战力关系!$B$6+I35*战力关系!$B$7+J35*战力关系!$B$8</f>
        <v>2884</v>
      </c>
      <c r="D35" s="18">
        <v>103</v>
      </c>
      <c r="E35" s="18">
        <f t="shared" si="2"/>
        <v>103</v>
      </c>
      <c r="F35" s="18">
        <f t="shared" si="3"/>
        <v>4120</v>
      </c>
      <c r="G35" s="22">
        <f t="shared" si="25"/>
        <v>72.099999999999994</v>
      </c>
      <c r="H35" s="22">
        <f t="shared" si="5"/>
        <v>72.099999999999994</v>
      </c>
      <c r="I35" s="18">
        <f t="shared" si="24"/>
        <v>0.41200000000000003</v>
      </c>
      <c r="J35" s="18">
        <f t="shared" si="26"/>
        <v>0.20600000000000002</v>
      </c>
      <c r="K35" s="18"/>
      <c r="L35" s="18"/>
      <c r="M35" s="22">
        <f t="shared" si="8"/>
        <v>61.8</v>
      </c>
      <c r="N35" s="22">
        <f t="shared" si="9"/>
        <v>61.8</v>
      </c>
      <c r="O35" s="22">
        <f t="shared" si="10"/>
        <v>1854</v>
      </c>
      <c r="P35" s="18">
        <v>1.4</v>
      </c>
      <c r="Q35" s="18">
        <f>R35*战力关系!$B$2+S35*战力关系!$B$3+T35*战力关系!$B$4+U35*战力关系!$B$5+V35*战力关系!$B$6+W35*战力关系!$B$7+X35*战力关系!$B$8</f>
        <v>4037.6</v>
      </c>
      <c r="R35" s="18">
        <f t="shared" si="11"/>
        <v>144.19999999999999</v>
      </c>
      <c r="S35" s="18">
        <f t="shared" si="12"/>
        <v>144.19999999999999</v>
      </c>
      <c r="T35" s="18">
        <f t="shared" si="13"/>
        <v>5768</v>
      </c>
      <c r="U35" s="18">
        <f t="shared" si="14"/>
        <v>100.93999999999998</v>
      </c>
      <c r="V35" s="18">
        <f t="shared" si="15"/>
        <v>100.93999999999998</v>
      </c>
      <c r="W35" s="18">
        <f t="shared" si="16"/>
        <v>0.57679999999999998</v>
      </c>
      <c r="X35" s="18">
        <f t="shared" si="17"/>
        <v>0.28839999999999999</v>
      </c>
      <c r="Y35" s="18"/>
      <c r="Z35" s="18"/>
      <c r="AA35" s="22">
        <f t="shared" si="18"/>
        <v>86.52</v>
      </c>
      <c r="AB35" s="22">
        <f t="shared" si="19"/>
        <v>86.52</v>
      </c>
      <c r="AC35" s="22">
        <f t="shared" si="20"/>
        <v>2595.6</v>
      </c>
    </row>
    <row r="36" spans="1:29" x14ac:dyDescent="0.2">
      <c r="A36" s="1"/>
      <c r="B36" s="18">
        <v>34</v>
      </c>
      <c r="C36" s="18">
        <f>D36*战力关系!$B$2+E36*战力关系!$B$3+F36*战力关系!$B$4+G36*战力关系!$B$5+H36*战力关系!$B$6+I36*战力关系!$B$7+J36*战力关系!$B$8</f>
        <v>2968</v>
      </c>
      <c r="D36" s="18">
        <v>106</v>
      </c>
      <c r="E36" s="18">
        <f t="shared" si="2"/>
        <v>106</v>
      </c>
      <c r="F36" s="18">
        <f t="shared" si="3"/>
        <v>4240</v>
      </c>
      <c r="G36" s="22">
        <f t="shared" si="25"/>
        <v>74.199999999999989</v>
      </c>
      <c r="H36" s="22">
        <f t="shared" si="5"/>
        <v>74.199999999999989</v>
      </c>
      <c r="I36" s="18">
        <f t="shared" si="24"/>
        <v>0.42399999999999999</v>
      </c>
      <c r="J36" s="18">
        <f t="shared" si="26"/>
        <v>0.21199999999999999</v>
      </c>
      <c r="K36" s="18"/>
      <c r="L36" s="18"/>
      <c r="M36" s="22">
        <f t="shared" si="8"/>
        <v>63.599999999999994</v>
      </c>
      <c r="N36" s="22">
        <f t="shared" si="9"/>
        <v>63.599999999999994</v>
      </c>
      <c r="O36" s="22">
        <f t="shared" si="10"/>
        <v>1908</v>
      </c>
      <c r="P36" s="18">
        <v>1.4</v>
      </c>
      <c r="Q36" s="18">
        <f>R36*战力关系!$B$2+S36*战力关系!$B$3+T36*战力关系!$B$4+U36*战力关系!$B$5+V36*战力关系!$B$6+W36*战力关系!$B$7+X36*战力关系!$B$8</f>
        <v>4155.1999999999989</v>
      </c>
      <c r="R36" s="18">
        <f t="shared" si="11"/>
        <v>148.39999999999998</v>
      </c>
      <c r="S36" s="18">
        <f t="shared" si="12"/>
        <v>148.39999999999998</v>
      </c>
      <c r="T36" s="18">
        <f t="shared" si="13"/>
        <v>5936</v>
      </c>
      <c r="U36" s="18">
        <f t="shared" si="14"/>
        <v>103.87999999999998</v>
      </c>
      <c r="V36" s="18">
        <f t="shared" si="15"/>
        <v>103.87999999999998</v>
      </c>
      <c r="W36" s="18">
        <f t="shared" si="16"/>
        <v>0.59359999999999991</v>
      </c>
      <c r="X36" s="18">
        <f t="shared" si="17"/>
        <v>0.29679999999999995</v>
      </c>
      <c r="Y36" s="18"/>
      <c r="Z36" s="18"/>
      <c r="AA36" s="22">
        <f t="shared" si="18"/>
        <v>89.039999999999992</v>
      </c>
      <c r="AB36" s="22">
        <f t="shared" si="19"/>
        <v>89.039999999999992</v>
      </c>
      <c r="AC36" s="22">
        <f t="shared" si="20"/>
        <v>2671.2</v>
      </c>
    </row>
    <row r="37" spans="1:29" x14ac:dyDescent="0.2">
      <c r="A37" s="1"/>
      <c r="B37" s="18">
        <v>35</v>
      </c>
      <c r="C37" s="18">
        <f>D37*战力关系!$B$2+E37*战力关系!$B$3+F37*战力关系!$B$4+G37*战力关系!$B$5+H37*战力关系!$B$6+I37*战力关系!$B$7+J37*战力关系!$B$8</f>
        <v>3052</v>
      </c>
      <c r="D37" s="18">
        <v>109</v>
      </c>
      <c r="E37" s="18">
        <f t="shared" si="2"/>
        <v>109</v>
      </c>
      <c r="F37" s="18">
        <f t="shared" si="3"/>
        <v>4360</v>
      </c>
      <c r="G37" s="22">
        <f t="shared" si="25"/>
        <v>76.3</v>
      </c>
      <c r="H37" s="22">
        <f t="shared" si="5"/>
        <v>76.3</v>
      </c>
      <c r="I37" s="18">
        <f t="shared" si="24"/>
        <v>0.436</v>
      </c>
      <c r="J37" s="18">
        <f t="shared" si="26"/>
        <v>0.218</v>
      </c>
      <c r="K37" s="18"/>
      <c r="L37" s="18"/>
      <c r="M37" s="22">
        <f t="shared" si="8"/>
        <v>65.399999999999991</v>
      </c>
      <c r="N37" s="22">
        <f t="shared" si="9"/>
        <v>65.399999999999991</v>
      </c>
      <c r="O37" s="22">
        <f t="shared" si="10"/>
        <v>1962</v>
      </c>
      <c r="P37" s="18">
        <v>1.4</v>
      </c>
      <c r="Q37" s="18">
        <f>R37*战力关系!$B$2+S37*战力关系!$B$3+T37*战力关系!$B$4+U37*战力关系!$B$5+V37*战力关系!$B$6+W37*战力关系!$B$7+X37*战力关系!$B$8</f>
        <v>4272.8</v>
      </c>
      <c r="R37" s="18">
        <f t="shared" si="11"/>
        <v>152.6</v>
      </c>
      <c r="S37" s="18">
        <f t="shared" si="12"/>
        <v>152.6</v>
      </c>
      <c r="T37" s="18">
        <f t="shared" si="13"/>
        <v>6104</v>
      </c>
      <c r="U37" s="18">
        <f t="shared" si="14"/>
        <v>106.82</v>
      </c>
      <c r="V37" s="18">
        <f t="shared" si="15"/>
        <v>106.82</v>
      </c>
      <c r="W37" s="18">
        <f t="shared" si="16"/>
        <v>0.61039999999999994</v>
      </c>
      <c r="X37" s="18">
        <f t="shared" si="17"/>
        <v>0.30519999999999997</v>
      </c>
      <c r="Y37" s="18"/>
      <c r="Z37" s="18"/>
      <c r="AA37" s="22">
        <f t="shared" si="18"/>
        <v>91.559999999999988</v>
      </c>
      <c r="AB37" s="22">
        <f t="shared" si="19"/>
        <v>91.559999999999988</v>
      </c>
      <c r="AC37" s="22">
        <f t="shared" si="20"/>
        <v>2746.7999999999997</v>
      </c>
    </row>
    <row r="38" spans="1:29" x14ac:dyDescent="0.2">
      <c r="A38" s="1"/>
      <c r="B38" s="18">
        <v>36</v>
      </c>
      <c r="C38" s="18">
        <f>D38*战力关系!$B$2+E38*战力关系!$B$3+F38*战力关系!$B$4+G38*战力关系!$B$5+H38*战力关系!$B$6+I38*战力关系!$B$7+J38*战力关系!$B$8</f>
        <v>3136</v>
      </c>
      <c r="D38" s="18">
        <v>112</v>
      </c>
      <c r="E38" s="18">
        <f t="shared" si="2"/>
        <v>112</v>
      </c>
      <c r="F38" s="18">
        <f t="shared" si="3"/>
        <v>4480</v>
      </c>
      <c r="G38" s="22">
        <f t="shared" si="25"/>
        <v>78.399999999999991</v>
      </c>
      <c r="H38" s="22">
        <f t="shared" si="5"/>
        <v>78.399999999999991</v>
      </c>
      <c r="I38" s="18">
        <f t="shared" si="24"/>
        <v>0.44800000000000001</v>
      </c>
      <c r="J38" s="18">
        <f t="shared" si="26"/>
        <v>0.224</v>
      </c>
      <c r="K38" s="18"/>
      <c r="L38" s="18"/>
      <c r="M38" s="22">
        <f t="shared" si="8"/>
        <v>67.2</v>
      </c>
      <c r="N38" s="22">
        <f t="shared" si="9"/>
        <v>67.2</v>
      </c>
      <c r="O38" s="22">
        <f t="shared" si="10"/>
        <v>2016</v>
      </c>
      <c r="P38" s="18">
        <v>1.4</v>
      </c>
      <c r="Q38" s="18">
        <f>R38*战力关系!$B$2+S38*战力关系!$B$3+T38*战力关系!$B$4+U38*战力关系!$B$5+V38*战力关系!$B$6+W38*战力关系!$B$7+X38*战力关系!$B$8</f>
        <v>4390.3999999999996</v>
      </c>
      <c r="R38" s="18">
        <f t="shared" si="11"/>
        <v>156.79999999999998</v>
      </c>
      <c r="S38" s="18">
        <f t="shared" si="12"/>
        <v>156.79999999999998</v>
      </c>
      <c r="T38" s="18">
        <f t="shared" si="13"/>
        <v>6272</v>
      </c>
      <c r="U38" s="18">
        <f t="shared" si="14"/>
        <v>109.75999999999998</v>
      </c>
      <c r="V38" s="18">
        <f t="shared" si="15"/>
        <v>109.75999999999998</v>
      </c>
      <c r="W38" s="18">
        <f t="shared" si="16"/>
        <v>0.62719999999999998</v>
      </c>
      <c r="X38" s="18">
        <f t="shared" si="17"/>
        <v>0.31359999999999999</v>
      </c>
      <c r="Y38" s="18"/>
      <c r="Z38" s="18"/>
      <c r="AA38" s="22">
        <f t="shared" si="18"/>
        <v>94.08</v>
      </c>
      <c r="AB38" s="22">
        <f t="shared" si="19"/>
        <v>94.08</v>
      </c>
      <c r="AC38" s="22">
        <f t="shared" si="20"/>
        <v>2822.3999999999996</v>
      </c>
    </row>
    <row r="39" spans="1:29" x14ac:dyDescent="0.2">
      <c r="A39" s="1"/>
      <c r="B39" s="18">
        <v>37</v>
      </c>
      <c r="C39" s="18">
        <f>D39*战力关系!$B$2+E39*战力关系!$B$3+F39*战力关系!$B$4+G39*战力关系!$B$5+H39*战力关系!$B$6+I39*战力关系!$B$7+J39*战力关系!$B$8</f>
        <v>3220</v>
      </c>
      <c r="D39" s="18">
        <v>115</v>
      </c>
      <c r="E39" s="18">
        <f t="shared" si="2"/>
        <v>115</v>
      </c>
      <c r="F39" s="18">
        <f t="shared" si="3"/>
        <v>4600</v>
      </c>
      <c r="G39" s="22">
        <f t="shared" si="25"/>
        <v>80.5</v>
      </c>
      <c r="H39" s="22">
        <f t="shared" si="5"/>
        <v>80.5</v>
      </c>
      <c r="I39" s="18">
        <f t="shared" si="24"/>
        <v>0.46</v>
      </c>
      <c r="J39" s="18">
        <f t="shared" si="26"/>
        <v>0.23</v>
      </c>
      <c r="K39" s="18"/>
      <c r="L39" s="18"/>
      <c r="M39" s="22">
        <f t="shared" si="8"/>
        <v>69</v>
      </c>
      <c r="N39" s="22">
        <f t="shared" si="9"/>
        <v>69</v>
      </c>
      <c r="O39" s="22">
        <f t="shared" si="10"/>
        <v>2070</v>
      </c>
      <c r="P39" s="18">
        <v>1.4</v>
      </c>
      <c r="Q39" s="18">
        <f>R39*战力关系!$B$2+S39*战力关系!$B$3+T39*战力关系!$B$4+U39*战力关系!$B$5+V39*战力关系!$B$6+W39*战力关系!$B$7+X39*战力关系!$B$8</f>
        <v>4508</v>
      </c>
      <c r="R39" s="18">
        <f t="shared" si="11"/>
        <v>161</v>
      </c>
      <c r="S39" s="18">
        <f t="shared" si="12"/>
        <v>161</v>
      </c>
      <c r="T39" s="18">
        <f t="shared" si="13"/>
        <v>6440</v>
      </c>
      <c r="U39" s="18">
        <f t="shared" si="14"/>
        <v>112.69999999999999</v>
      </c>
      <c r="V39" s="18">
        <f t="shared" si="15"/>
        <v>112.69999999999999</v>
      </c>
      <c r="W39" s="18">
        <f t="shared" si="16"/>
        <v>0.64400000000000002</v>
      </c>
      <c r="X39" s="18">
        <f t="shared" si="17"/>
        <v>0.32200000000000001</v>
      </c>
      <c r="Y39" s="18"/>
      <c r="Z39" s="18"/>
      <c r="AA39" s="22">
        <f t="shared" si="18"/>
        <v>96.6</v>
      </c>
      <c r="AB39" s="22">
        <f t="shared" si="19"/>
        <v>96.6</v>
      </c>
      <c r="AC39" s="22">
        <f t="shared" si="20"/>
        <v>2898</v>
      </c>
    </row>
    <row r="40" spans="1:29" x14ac:dyDescent="0.2">
      <c r="A40" s="1"/>
      <c r="B40" s="18">
        <v>38</v>
      </c>
      <c r="C40" s="18">
        <f>D40*战力关系!$B$2+E40*战力关系!$B$3+F40*战力关系!$B$4+G40*战力关系!$B$5+H40*战力关系!$B$6+I40*战力关系!$B$7+J40*战力关系!$B$8</f>
        <v>3304</v>
      </c>
      <c r="D40" s="18">
        <v>118</v>
      </c>
      <c r="E40" s="18">
        <f t="shared" si="2"/>
        <v>118</v>
      </c>
      <c r="F40" s="18">
        <f t="shared" si="3"/>
        <v>4720</v>
      </c>
      <c r="G40" s="22">
        <f t="shared" si="25"/>
        <v>82.6</v>
      </c>
      <c r="H40" s="22">
        <f t="shared" si="5"/>
        <v>82.6</v>
      </c>
      <c r="I40" s="18">
        <f t="shared" si="24"/>
        <v>0.47200000000000003</v>
      </c>
      <c r="J40" s="18">
        <f t="shared" si="26"/>
        <v>0.23600000000000002</v>
      </c>
      <c r="K40" s="18"/>
      <c r="L40" s="18"/>
      <c r="M40" s="22">
        <f t="shared" si="8"/>
        <v>70.8</v>
      </c>
      <c r="N40" s="22">
        <f t="shared" si="9"/>
        <v>70.8</v>
      </c>
      <c r="O40" s="22">
        <f t="shared" si="10"/>
        <v>2124</v>
      </c>
      <c r="P40" s="18">
        <v>1.5</v>
      </c>
      <c r="Q40" s="18">
        <f>R40*战力关系!$B$2+S40*战力关系!$B$3+T40*战力关系!$B$4+U40*战力关系!$B$5+V40*战力关系!$B$6+W40*战力关系!$B$7+X40*战力关系!$B$8</f>
        <v>4956</v>
      </c>
      <c r="R40" s="18">
        <f t="shared" si="11"/>
        <v>177</v>
      </c>
      <c r="S40" s="18">
        <f t="shared" si="12"/>
        <v>177</v>
      </c>
      <c r="T40" s="18">
        <f t="shared" si="13"/>
        <v>7080</v>
      </c>
      <c r="U40" s="18">
        <f t="shared" si="14"/>
        <v>123.89999999999999</v>
      </c>
      <c r="V40" s="18">
        <f t="shared" si="15"/>
        <v>123.89999999999999</v>
      </c>
      <c r="W40" s="18">
        <f t="shared" si="16"/>
        <v>0.70800000000000007</v>
      </c>
      <c r="X40" s="18">
        <f t="shared" si="17"/>
        <v>0.35400000000000004</v>
      </c>
      <c r="Y40" s="18"/>
      <c r="Z40" s="18"/>
      <c r="AA40" s="22">
        <f t="shared" si="18"/>
        <v>106.19999999999999</v>
      </c>
      <c r="AB40" s="22">
        <f t="shared" si="19"/>
        <v>106.19999999999999</v>
      </c>
      <c r="AC40" s="22">
        <f t="shared" si="20"/>
        <v>3186</v>
      </c>
    </row>
    <row r="41" spans="1:29" x14ac:dyDescent="0.2">
      <c r="A41" s="1"/>
      <c r="B41" s="18">
        <v>39</v>
      </c>
      <c r="C41" s="18">
        <f>D41*战力关系!$B$2+E41*战力关系!$B$3+F41*战力关系!$B$4+G41*战力关系!$B$5+H41*战力关系!$B$6+I41*战力关系!$B$7+J41*战力关系!$B$8</f>
        <v>3388</v>
      </c>
      <c r="D41" s="18">
        <v>121</v>
      </c>
      <c r="E41" s="18">
        <f t="shared" si="2"/>
        <v>121</v>
      </c>
      <c r="F41" s="18">
        <f t="shared" si="3"/>
        <v>4840</v>
      </c>
      <c r="G41" s="22">
        <f t="shared" si="25"/>
        <v>84.699999999999989</v>
      </c>
      <c r="H41" s="22">
        <f t="shared" si="5"/>
        <v>84.699999999999989</v>
      </c>
      <c r="I41" s="18">
        <f t="shared" si="24"/>
        <v>0.48399999999999999</v>
      </c>
      <c r="J41" s="18">
        <f t="shared" si="26"/>
        <v>0.24199999999999999</v>
      </c>
      <c r="K41" s="18"/>
      <c r="L41" s="18"/>
      <c r="M41" s="22">
        <f t="shared" si="8"/>
        <v>72.599999999999994</v>
      </c>
      <c r="N41" s="22">
        <f t="shared" si="9"/>
        <v>72.599999999999994</v>
      </c>
      <c r="O41" s="22">
        <f t="shared" si="10"/>
        <v>2178</v>
      </c>
      <c r="P41" s="18">
        <v>1.5</v>
      </c>
      <c r="Q41" s="18">
        <f>R41*战力关系!$B$2+S41*战力关系!$B$3+T41*战力关系!$B$4+U41*战力关系!$B$5+V41*战力关系!$B$6+W41*战力关系!$B$7+X41*战力关系!$B$8</f>
        <v>5082</v>
      </c>
      <c r="R41" s="18">
        <f t="shared" si="11"/>
        <v>181.5</v>
      </c>
      <c r="S41" s="18">
        <f t="shared" si="12"/>
        <v>181.5</v>
      </c>
      <c r="T41" s="18">
        <f t="shared" si="13"/>
        <v>7260</v>
      </c>
      <c r="U41" s="18">
        <f t="shared" si="14"/>
        <v>127.04999999999998</v>
      </c>
      <c r="V41" s="18">
        <f t="shared" si="15"/>
        <v>127.04999999999998</v>
      </c>
      <c r="W41" s="18">
        <f t="shared" si="16"/>
        <v>0.72599999999999998</v>
      </c>
      <c r="X41" s="18">
        <f t="shared" si="17"/>
        <v>0.36299999999999999</v>
      </c>
      <c r="Y41" s="18"/>
      <c r="Z41" s="18"/>
      <c r="AA41" s="22">
        <f t="shared" si="18"/>
        <v>108.89999999999999</v>
      </c>
      <c r="AB41" s="22">
        <f t="shared" si="19"/>
        <v>108.89999999999999</v>
      </c>
      <c r="AC41" s="22">
        <f t="shared" si="20"/>
        <v>3267</v>
      </c>
    </row>
    <row r="42" spans="1:29" x14ac:dyDescent="0.2">
      <c r="A42" s="1"/>
      <c r="B42" s="18">
        <v>40</v>
      </c>
      <c r="C42" s="18">
        <f>D42*战力关系!$B$2+E42*战力关系!$B$3+F42*战力关系!$B$4+G42*战力关系!$B$5+H42*战力关系!$B$6+I42*战力关系!$B$7+J42*战力关系!$B$8</f>
        <v>3472</v>
      </c>
      <c r="D42" s="18">
        <v>124</v>
      </c>
      <c r="E42" s="18">
        <f t="shared" si="2"/>
        <v>124</v>
      </c>
      <c r="F42" s="18">
        <f t="shared" si="3"/>
        <v>4960</v>
      </c>
      <c r="G42" s="22">
        <f t="shared" si="25"/>
        <v>86.8</v>
      </c>
      <c r="H42" s="22">
        <f t="shared" si="5"/>
        <v>86.8</v>
      </c>
      <c r="I42" s="18">
        <f t="shared" si="24"/>
        <v>0.496</v>
      </c>
      <c r="J42" s="18">
        <f t="shared" si="26"/>
        <v>0.248</v>
      </c>
      <c r="K42" s="18"/>
      <c r="L42" s="18"/>
      <c r="M42" s="22">
        <f t="shared" si="8"/>
        <v>74.399999999999991</v>
      </c>
      <c r="N42" s="22">
        <f t="shared" si="9"/>
        <v>74.399999999999991</v>
      </c>
      <c r="O42" s="22">
        <f t="shared" si="10"/>
        <v>2232</v>
      </c>
      <c r="P42" s="18">
        <v>1.5</v>
      </c>
      <c r="Q42" s="18">
        <f>R42*战力关系!$B$2+S42*战力关系!$B$3+T42*战力关系!$B$4+U42*战力关系!$B$5+V42*战力关系!$B$6+W42*战力关系!$B$7+X42*战力关系!$B$8</f>
        <v>5208</v>
      </c>
      <c r="R42" s="18">
        <f t="shared" si="11"/>
        <v>186</v>
      </c>
      <c r="S42" s="18">
        <f t="shared" si="12"/>
        <v>186</v>
      </c>
      <c r="T42" s="18">
        <f t="shared" si="13"/>
        <v>7440</v>
      </c>
      <c r="U42" s="18">
        <f t="shared" si="14"/>
        <v>130.19999999999999</v>
      </c>
      <c r="V42" s="18">
        <f t="shared" si="15"/>
        <v>130.19999999999999</v>
      </c>
      <c r="W42" s="18">
        <f t="shared" si="16"/>
        <v>0.74399999999999999</v>
      </c>
      <c r="X42" s="18">
        <f t="shared" si="17"/>
        <v>0.372</v>
      </c>
      <c r="Y42" s="18"/>
      <c r="Z42" s="18"/>
      <c r="AA42" s="22">
        <f t="shared" si="18"/>
        <v>111.6</v>
      </c>
      <c r="AB42" s="22">
        <f t="shared" si="19"/>
        <v>111.6</v>
      </c>
      <c r="AC42" s="22">
        <f t="shared" si="20"/>
        <v>3348</v>
      </c>
    </row>
  </sheetData>
  <mergeCells count="2">
    <mergeCell ref="P1:AC1"/>
    <mergeCell ref="B1:O1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28AE-B711-46DB-A2DE-3A117C57A14E}">
  <dimension ref="A1:AC10"/>
  <sheetViews>
    <sheetView workbookViewId="0">
      <selection activeCell="D4" sqref="D4"/>
    </sheetView>
  </sheetViews>
  <sheetFormatPr defaultRowHeight="14.25" x14ac:dyDescent="0.2"/>
  <sheetData>
    <row r="1" spans="1:29" x14ac:dyDescent="0.2">
      <c r="A1" s="2"/>
      <c r="B1" s="150" t="s">
        <v>24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  <c r="P1" s="156" t="s">
        <v>56</v>
      </c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8"/>
    </row>
    <row r="2" spans="1:29" x14ac:dyDescent="0.2">
      <c r="A2" s="20" t="s">
        <v>12</v>
      </c>
      <c r="B2" s="20" t="s">
        <v>0</v>
      </c>
      <c r="C2" s="20" t="s">
        <v>19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8</v>
      </c>
      <c r="L2" s="20" t="s">
        <v>9</v>
      </c>
      <c r="M2" s="21" t="s">
        <v>30</v>
      </c>
      <c r="N2" s="21" t="s">
        <v>31</v>
      </c>
      <c r="O2" s="21" t="s">
        <v>32</v>
      </c>
      <c r="P2" s="20" t="s">
        <v>0</v>
      </c>
      <c r="Q2" s="20" t="s">
        <v>19</v>
      </c>
      <c r="R2" s="20" t="s">
        <v>1</v>
      </c>
      <c r="S2" s="20" t="s">
        <v>2</v>
      </c>
      <c r="T2" s="20" t="s">
        <v>3</v>
      </c>
      <c r="U2" s="20" t="s">
        <v>4</v>
      </c>
      <c r="V2" s="20" t="s">
        <v>5</v>
      </c>
      <c r="W2" s="20" t="s">
        <v>6</v>
      </c>
      <c r="X2" s="20" t="s">
        <v>7</v>
      </c>
      <c r="Y2" s="20" t="s">
        <v>8</v>
      </c>
      <c r="Z2" s="20" t="s">
        <v>9</v>
      </c>
      <c r="AA2" s="21" t="s">
        <v>30</v>
      </c>
      <c r="AB2" s="21" t="s">
        <v>31</v>
      </c>
      <c r="AC2" s="21" t="s">
        <v>32</v>
      </c>
    </row>
    <row r="3" spans="1:29" x14ac:dyDescent="0.2">
      <c r="A3" s="2">
        <v>1</v>
      </c>
      <c r="B3" s="2">
        <v>12</v>
      </c>
      <c r="C3" s="2">
        <f>VLOOKUP('战宠数值模型-天'!$B3,'战宠数值模型-等级'!$B$3:$O$42,2)</f>
        <v>932</v>
      </c>
      <c r="D3" s="2">
        <f>VLOOKUP('战宠数值模型-天'!$B3,'战宠数值模型-等级'!$B$3:$O$42,3)</f>
        <v>40</v>
      </c>
      <c r="E3" s="2">
        <f>VLOOKUP('战宠数值模型-天'!$B3,'战宠数值模型-等级'!$B$3:$O$42,4)</f>
        <v>40</v>
      </c>
      <c r="F3" s="2">
        <f>VLOOKUP('战宠数值模型-天'!$B3,'战宠数值模型-等级'!$B$3:$O$42,5)</f>
        <v>1600</v>
      </c>
      <c r="G3" s="2">
        <f>VLOOKUP('战宠数值模型-天'!$B3,'战宠数值模型-等级'!$B$3:$O$42,6)</f>
        <v>14</v>
      </c>
      <c r="H3" s="2">
        <f>VLOOKUP('战宠数值模型-天'!$B3,'战宠数值模型-等级'!$B$3:$O$42,7)</f>
        <v>14</v>
      </c>
      <c r="I3" s="2">
        <f>VLOOKUP('战宠数值模型-天'!$B3,'战宠数值模型-等级'!$B$3:$O$42,8)</f>
        <v>0.08</v>
      </c>
      <c r="J3" s="2">
        <f>VLOOKUP('战宠数值模型-天'!$B3,'战宠数值模型-等级'!$B$3:$O$42,9)</f>
        <v>6.4000000000000001E-2</v>
      </c>
      <c r="K3" s="2">
        <f>VLOOKUP('战宠数值模型-天'!$B3,'战宠数值模型-等级'!$B$3:$O$42,10)</f>
        <v>0</v>
      </c>
      <c r="L3" s="2">
        <f>VLOOKUP('战宠数值模型-天'!$B3,'战宠数值模型-等级'!$B$3:$O$42,11)</f>
        <v>0</v>
      </c>
      <c r="M3" s="2">
        <f>VLOOKUP('战宠数值模型-天'!$B3,'战宠数值模型-等级'!$B$3:$O$42,12)</f>
        <v>24</v>
      </c>
      <c r="N3" s="2">
        <f>VLOOKUP('战宠数值模型-天'!$B3,'战宠数值模型-等级'!$B$3:$O$42,13)</f>
        <v>24</v>
      </c>
      <c r="O3" s="2">
        <f>VLOOKUP('战宠数值模型-天'!$B3,'战宠数值模型-等级'!$B$3:$O$42,14)</f>
        <v>720</v>
      </c>
      <c r="P3" s="2">
        <v>12</v>
      </c>
      <c r="Q3" s="2">
        <f>VLOOKUP('战宠数值模型-天'!$P3,'战宠数值模型-等级'!$B$3:$AC$42,16)</f>
        <v>1025.2</v>
      </c>
      <c r="R3" s="2">
        <f>VLOOKUP('战宠数值模型-天'!$P3,'战宠数值模型-等级'!$B$3:$AC$42,17)</f>
        <v>44</v>
      </c>
      <c r="S3" s="2">
        <f>VLOOKUP('战宠数值模型-天'!$P3,'战宠数值模型-等级'!$B$3:$AC$42,18)</f>
        <v>44</v>
      </c>
      <c r="T3" s="2">
        <f>VLOOKUP('战宠数值模型-天'!$P3,'战宠数值模型-等级'!$B$3:$AC$42,19)</f>
        <v>1760.0000000000002</v>
      </c>
      <c r="U3" s="2">
        <f>VLOOKUP('战宠数值模型-天'!$P3,'战宠数值模型-等级'!$B$3:$AC$42,20)</f>
        <v>15.400000000000002</v>
      </c>
      <c r="V3" s="2">
        <f>VLOOKUP('战宠数值模型-天'!$P3,'战宠数值模型-等级'!$B$3:$AC$42,21)</f>
        <v>15.400000000000002</v>
      </c>
      <c r="W3" s="2">
        <f>VLOOKUP('战宠数值模型-天'!$P3,'战宠数值模型-等级'!$B$3:$AC$42,22)</f>
        <v>8.8000000000000009E-2</v>
      </c>
      <c r="X3" s="2">
        <f>VLOOKUP('战宠数值模型-天'!$P3,'战宠数值模型-等级'!$B$3:$AC$42,23)</f>
        <v>7.0400000000000004E-2</v>
      </c>
      <c r="Y3" s="2">
        <f>VLOOKUP('战宠数值模型-天'!$P3,'战宠数值模型-等级'!$B$3:$AC$42,24)</f>
        <v>0</v>
      </c>
      <c r="Z3" s="2">
        <f>VLOOKUP('战宠数值模型-天'!$P3,'战宠数值模型-等级'!$B$3:$AC$42,25)</f>
        <v>0</v>
      </c>
      <c r="AA3" s="2">
        <f>VLOOKUP('战宠数值模型-天'!$P3,'战宠数值模型-等级'!$B$3:$AC$42,26)</f>
        <v>26.400000000000002</v>
      </c>
      <c r="AB3" s="2">
        <f>VLOOKUP('战宠数值模型-天'!$P3,'战宠数值模型-等级'!$B$3:$AC$42,27)</f>
        <v>26.400000000000002</v>
      </c>
      <c r="AC3" s="2">
        <f>VLOOKUP('战宠数值模型-天'!$P3,'战宠数值模型-等级'!$B$3:$AC$42,28)</f>
        <v>792.00000000000011</v>
      </c>
    </row>
    <row r="4" spans="1:29" x14ac:dyDescent="0.2">
      <c r="A4" s="2">
        <v>2</v>
      </c>
      <c r="B4" s="2">
        <v>17</v>
      </c>
      <c r="C4" s="2">
        <f>VLOOKUP('战宠数值模型-天'!$B4,'战宠数值模型-等级'!B4:O43,2)</f>
        <v>1413.5</v>
      </c>
      <c r="D4" s="2">
        <f>VLOOKUP('英雄数值模型-天'!$B4,'英雄数值模型-英雄等级'!$B$3:$L$42,3)</f>
        <v>124</v>
      </c>
      <c r="E4" s="2">
        <f>VLOOKUP('英雄数值模型-天'!$B4,'英雄数值模型-英雄等级'!$B$3:$L$42,4)</f>
        <v>124</v>
      </c>
      <c r="F4" s="2">
        <f>VLOOKUP('英雄数值模型-天'!$B4,'英雄数值模型-英雄等级'!$B$3:$L$42,5)</f>
        <v>3100</v>
      </c>
      <c r="G4" s="2">
        <f>VLOOKUP('英雄数值模型-天'!$B4,'英雄数值模型-英雄等级'!$B$3:$L$42,6)</f>
        <v>62</v>
      </c>
      <c r="H4" s="2">
        <f>VLOOKUP('英雄数值模型-天'!$B4,'英雄数值模型-英雄等级'!$B$3:$L$42,7)</f>
        <v>37.199999999999996</v>
      </c>
      <c r="I4" s="2">
        <f>VLOOKUP('英雄数值模型-天'!$B4,'英雄数值模型-英雄等级'!$B$3:$L$42,8)</f>
        <v>0.372</v>
      </c>
      <c r="J4" s="2">
        <f>VLOOKUP('英雄数值模型-天'!$B4,'英雄数值模型-英雄等级'!$B$3:$L$42,9)</f>
        <v>0.29759999999999998</v>
      </c>
      <c r="K4" s="2">
        <f>VLOOKUP('英雄数值模型-天'!$B4,'英雄数值模型-英雄等级'!$B$3:$L$42,10)</f>
        <v>0</v>
      </c>
      <c r="L4" s="2">
        <f>VLOOKUP('英雄数值模型-天'!$B4,'英雄数值模型-英雄等级'!$B$3:$L$42,11)</f>
        <v>0</v>
      </c>
      <c r="M4" s="2">
        <f>VLOOKUP('战宠数值模型-天'!$B4,'战宠数值模型-等级'!$B$3:$O$42,12)</f>
        <v>33</v>
      </c>
      <c r="N4" s="2">
        <f>VLOOKUP('战宠数值模型-天'!$B4,'战宠数值模型-等级'!$B$3:$O$42,13)</f>
        <v>33</v>
      </c>
      <c r="O4" s="2">
        <f>VLOOKUP('战宠数值模型-天'!$B4,'战宠数值模型-等级'!$B$3:$O$42,14)</f>
        <v>990</v>
      </c>
      <c r="P4" s="2">
        <v>18</v>
      </c>
      <c r="Q4" s="2">
        <f>VLOOKUP('战宠数值模型-天'!$P4,'战宠数值模型-等级'!$B$3:$AC$42,16)</f>
        <v>1788.7200000000003</v>
      </c>
      <c r="R4" s="2">
        <f>VLOOKUP('英雄数值模型-天'!$M4,'英雄数值模型-英雄等级'!$B$3:$U$42,14)</f>
        <v>183.39999999999998</v>
      </c>
      <c r="S4" s="2">
        <f>VLOOKUP('英雄数值模型-天'!$M4,'英雄数值模型-英雄等级'!$B$3:$U$42,15)</f>
        <v>183.39999999999998</v>
      </c>
      <c r="T4" s="2">
        <f>VLOOKUP('英雄数值模型-天'!$M4,'英雄数值模型-英雄等级'!$B$3:$U$42,16)</f>
        <v>4585</v>
      </c>
      <c r="U4" s="2">
        <f>VLOOKUP('英雄数值模型-天'!$M4,'英雄数值模型-英雄等级'!$B$3:$U$42,17)</f>
        <v>91.699999999999989</v>
      </c>
      <c r="V4" s="2">
        <f>VLOOKUP('英雄数值模型-天'!$M4,'英雄数值模型-英雄等级'!$B$3:$U$42,18)</f>
        <v>55.019999999999996</v>
      </c>
      <c r="W4" s="2">
        <f>VLOOKUP('英雄数值模型-天'!$M4,'英雄数值模型-英雄等级'!$B$3:$U$42,19)</f>
        <v>0.55020000000000002</v>
      </c>
      <c r="X4" s="2">
        <f>VLOOKUP('英雄数值模型-天'!$M4,'英雄数值模型-英雄等级'!$B$3:$U$42,20)</f>
        <v>0.44015999999999988</v>
      </c>
      <c r="Y4" s="2">
        <f>VLOOKUP('英雄数值模型-天'!$M4,'英雄数值模型-英雄等级'!$B$3:$W$42,21)</f>
        <v>0</v>
      </c>
      <c r="Z4" s="2">
        <f>VLOOKUP('英雄数值模型-天'!$M4,'英雄数值模型-英雄等级'!$B$3:$W$42,22)</f>
        <v>0</v>
      </c>
      <c r="AA4" s="2">
        <f>VLOOKUP('战宠数值模型-天'!$P4,'战宠数值模型-等级'!$B$3:$AC$42,26)</f>
        <v>41.76</v>
      </c>
      <c r="AB4" s="2">
        <f>VLOOKUP('战宠数值模型-天'!$P4,'战宠数值模型-等级'!$B$3:$AC$42,27)</f>
        <v>41.76</v>
      </c>
      <c r="AC4" s="2">
        <f>VLOOKUP('战宠数值模型-天'!$P4,'战宠数值模型-等级'!$B$3:$AC$42,28)</f>
        <v>1252.8</v>
      </c>
    </row>
    <row r="5" spans="1:29" x14ac:dyDescent="0.2">
      <c r="A5" s="2">
        <v>3</v>
      </c>
      <c r="B5" s="2">
        <v>20</v>
      </c>
      <c r="C5" s="2">
        <f>VLOOKUP('战宠数值模型-天'!$B5,'战宠数值模型-等级'!B5:O44,2)</f>
        <v>1804.8</v>
      </c>
      <c r="D5" s="2">
        <f>VLOOKUP('英雄数值模型-天'!$B5,'英雄数值模型-英雄等级'!$B$3:$L$42,3)</f>
        <v>147</v>
      </c>
      <c r="E5" s="2">
        <f>VLOOKUP('英雄数值模型-天'!$B5,'英雄数值模型-英雄等级'!$B$3:$L$42,4)</f>
        <v>147</v>
      </c>
      <c r="F5" s="2">
        <f>VLOOKUP('英雄数值模型-天'!$B5,'英雄数值模型-英雄等级'!$B$3:$L$42,5)</f>
        <v>3675</v>
      </c>
      <c r="G5" s="2">
        <f>VLOOKUP('英雄数值模型-天'!$B5,'英雄数值模型-英雄等级'!$B$3:$L$42,6)</f>
        <v>102.89999999999999</v>
      </c>
      <c r="H5" s="2">
        <f>VLOOKUP('英雄数值模型-天'!$B5,'英雄数值模型-英雄等级'!$B$3:$L$42,7)</f>
        <v>58.800000000000004</v>
      </c>
      <c r="I5" s="2">
        <f>VLOOKUP('英雄数值模型-天'!$B5,'英雄数值模型-英雄等级'!$B$3:$L$42,8)</f>
        <v>0.58799999999999997</v>
      </c>
      <c r="J5" s="2">
        <f>VLOOKUP('英雄数值模型-天'!$B5,'英雄数值模型-英雄等级'!$B$3:$L$42,9)</f>
        <v>0.47040000000000004</v>
      </c>
      <c r="K5" s="2">
        <f>VLOOKUP('英雄数值模型-天'!$B5,'英雄数值模型-英雄等级'!$B$3:$L$42,10)</f>
        <v>0</v>
      </c>
      <c r="L5" s="2">
        <f>VLOOKUP('英雄数值模型-天'!$B5,'英雄数值模型-英雄等级'!$B$3:$L$42,11)</f>
        <v>0</v>
      </c>
      <c r="M5" s="2">
        <f>VLOOKUP('战宠数值模型-天'!$B5,'战宠数值模型-等级'!$B$3:$O$42,12)</f>
        <v>38.4</v>
      </c>
      <c r="N5" s="2">
        <f>VLOOKUP('战宠数值模型-天'!$B5,'战宠数值模型-等级'!$B$3:$O$42,13)</f>
        <v>38.4</v>
      </c>
      <c r="O5" s="2">
        <f>VLOOKUP('战宠数值模型-天'!$B5,'战宠数值模型-等级'!$B$3:$O$42,14)</f>
        <v>1152</v>
      </c>
      <c r="P5" s="2">
        <v>21</v>
      </c>
      <c r="Q5" s="2">
        <f>VLOOKUP('战宠数值模型-天'!$P5,'战宠数值模型-等级'!$B$3:$AC$42,16)</f>
        <v>2251.2000000000003</v>
      </c>
      <c r="R5" s="2">
        <f>VLOOKUP('英雄数值模型-天'!$M5,'英雄数值模型-英雄等级'!$B$3:$U$42,14)</f>
        <v>231</v>
      </c>
      <c r="S5" s="2">
        <f>VLOOKUP('英雄数值模型-天'!$M5,'英雄数值模型-英雄等级'!$B$3:$U$42,15)</f>
        <v>231</v>
      </c>
      <c r="T5" s="2">
        <f>VLOOKUP('英雄数值模型-天'!$M5,'英雄数值模型-英雄等级'!$B$3:$U$42,16)</f>
        <v>5775</v>
      </c>
      <c r="U5" s="2">
        <f>VLOOKUP('英雄数值模型-天'!$M5,'英雄数值模型-英雄等级'!$B$3:$U$42,17)</f>
        <v>161.69999999999999</v>
      </c>
      <c r="V5" s="2">
        <f>VLOOKUP('英雄数值模型-天'!$M5,'英雄数值模型-英雄等级'!$B$3:$U$42,18)</f>
        <v>92.4</v>
      </c>
      <c r="W5" s="2">
        <f>VLOOKUP('英雄数值模型-天'!$M5,'英雄数值模型-英雄等级'!$B$3:$U$42,19)</f>
        <v>0.92399999999999993</v>
      </c>
      <c r="X5" s="2">
        <f>VLOOKUP('英雄数值模型-天'!$M5,'英雄数值模型-英雄等级'!$B$3:$U$42,20)</f>
        <v>0.73920000000000008</v>
      </c>
      <c r="Y5" s="2">
        <f>VLOOKUP('英雄数值模型-天'!$M5,'英雄数值模型-英雄等级'!$B$3:$W$42,21)</f>
        <v>0</v>
      </c>
      <c r="Z5" s="2">
        <f>VLOOKUP('英雄数值模型-天'!$M5,'英雄数值模型-英雄等级'!$B$3:$W$42,22)</f>
        <v>0</v>
      </c>
      <c r="AA5" s="2">
        <f>VLOOKUP('战宠数值模型-天'!$P5,'战宠数值模型-等级'!$B$3:$AC$42,26)</f>
        <v>48.239999999999995</v>
      </c>
      <c r="AB5" s="2">
        <f>VLOOKUP('战宠数值模型-天'!$P5,'战宠数值模型-等级'!$B$3:$AC$42,27)</f>
        <v>48.239999999999995</v>
      </c>
      <c r="AC5" s="2">
        <f>VLOOKUP('战宠数值模型-天'!$P5,'战宠数值模型-等级'!$B$3:$AC$42,28)</f>
        <v>1447.2</v>
      </c>
    </row>
    <row r="6" spans="1:29" x14ac:dyDescent="0.2">
      <c r="A6" s="2">
        <v>4</v>
      </c>
      <c r="B6" s="2">
        <v>24</v>
      </c>
      <c r="C6" s="2">
        <f>VLOOKUP('战宠数值模型-天'!$B6,'战宠数值模型-等级'!B6:O45,2)</f>
        <v>2128</v>
      </c>
      <c r="D6" s="2">
        <f>VLOOKUP('英雄数值模型-天'!$B6,'英雄数值模型-英雄等级'!$B$3:$L$42,3)</f>
        <v>175</v>
      </c>
      <c r="E6" s="2">
        <f>VLOOKUP('英雄数值模型-天'!$B6,'英雄数值模型-英雄等级'!$B$3:$L$42,4)</f>
        <v>175</v>
      </c>
      <c r="F6" s="2">
        <f>VLOOKUP('英雄数值模型-天'!$B6,'英雄数值模型-英雄等级'!$B$3:$L$42,5)</f>
        <v>4375</v>
      </c>
      <c r="G6" s="2">
        <f>VLOOKUP('英雄数值模型-天'!$B6,'英雄数值模型-英雄等级'!$B$3:$L$42,6)</f>
        <v>122.49999999999999</v>
      </c>
      <c r="H6" s="2">
        <f>VLOOKUP('英雄数值模型-天'!$B6,'英雄数值模型-英雄等级'!$B$3:$L$42,7)</f>
        <v>70</v>
      </c>
      <c r="I6" s="2">
        <f>VLOOKUP('英雄数值模型-天'!$B6,'英雄数值模型-英雄等级'!$B$3:$L$42,8)</f>
        <v>0.70000000000000007</v>
      </c>
      <c r="J6" s="2">
        <f>VLOOKUP('英雄数值模型-天'!$B6,'英雄数值模型-英雄等级'!$B$3:$L$42,9)</f>
        <v>0.56000000000000005</v>
      </c>
      <c r="K6" s="2">
        <f>VLOOKUP('英雄数值模型-天'!$B6,'英雄数值模型-英雄等级'!$B$3:$L$42,10)</f>
        <v>0</v>
      </c>
      <c r="L6" s="2">
        <f>VLOOKUP('英雄数值模型-天'!$B6,'英雄数值模型-英雄等级'!$B$3:$L$42,11)</f>
        <v>0</v>
      </c>
      <c r="M6" s="2">
        <f>VLOOKUP('战宠数值模型-天'!$B6,'战宠数值模型-等级'!$B$3:$O$42,12)</f>
        <v>45.6</v>
      </c>
      <c r="N6" s="2">
        <f>VLOOKUP('战宠数值模型-天'!$B6,'战宠数值模型-等级'!$B$3:$O$42,13)</f>
        <v>45.6</v>
      </c>
      <c r="O6" s="2">
        <f>VLOOKUP('战宠数值模型-天'!$B6,'战宠数值模型-等级'!$B$3:$O$42,14)</f>
        <v>1368</v>
      </c>
      <c r="P6" s="2">
        <v>25</v>
      </c>
      <c r="Q6" s="2">
        <f>VLOOKUP('战宠数值模型-天'!$P6,'战宠数值模型-等级'!$B$3:$AC$42,16)</f>
        <v>2654.4</v>
      </c>
      <c r="R6" s="2">
        <f>VLOOKUP('英雄数值模型-天'!$M6,'英雄数值模型-英雄等级'!$B$3:$U$42,14)</f>
        <v>273</v>
      </c>
      <c r="S6" s="2">
        <f>VLOOKUP('英雄数值模型-天'!$M6,'英雄数值模型-英雄等级'!$B$3:$U$42,15)</f>
        <v>273</v>
      </c>
      <c r="T6" s="2">
        <f>VLOOKUP('英雄数值模型-天'!$M6,'英雄数值模型-英雄等级'!$B$3:$U$42,16)</f>
        <v>6825</v>
      </c>
      <c r="U6" s="2">
        <f>VLOOKUP('英雄数值模型-天'!$M6,'英雄数值模型-英雄等级'!$B$3:$U$42,17)</f>
        <v>191.1</v>
      </c>
      <c r="V6" s="2">
        <f>VLOOKUP('英雄数值模型-天'!$M6,'英雄数值模型-英雄等级'!$B$3:$U$42,18)</f>
        <v>109.19999999999999</v>
      </c>
      <c r="W6" s="2">
        <f>VLOOKUP('英雄数值模型-天'!$M6,'英雄数值模型-英雄等级'!$B$3:$U$42,19)</f>
        <v>1.0920000000000001</v>
      </c>
      <c r="X6" s="2">
        <f>VLOOKUP('英雄数值模型-天'!$M6,'英雄数值模型-英雄等级'!$B$3:$U$42,20)</f>
        <v>0.87360000000000004</v>
      </c>
      <c r="Y6" s="2">
        <f>VLOOKUP('英雄数值模型-天'!$M6,'英雄数值模型-英雄等级'!$B$3:$W$42,21)</f>
        <v>0</v>
      </c>
      <c r="Z6" s="2">
        <f>VLOOKUP('英雄数值模型-天'!$M6,'英雄数值模型-英雄等级'!$B$3:$W$42,22)</f>
        <v>0</v>
      </c>
      <c r="AA6" s="2">
        <f>VLOOKUP('战宠数值模型-天'!$P6,'战宠数值模型-等级'!$B$3:$AC$42,26)</f>
        <v>56.879999999999995</v>
      </c>
      <c r="AB6" s="2">
        <f>VLOOKUP('战宠数值模型-天'!$P6,'战宠数值模型-等级'!$B$3:$AC$42,27)</f>
        <v>56.879999999999995</v>
      </c>
      <c r="AC6" s="2">
        <f>VLOOKUP('战宠数值模型-天'!$P6,'战宠数值模型-等级'!$B$3:$AC$42,28)</f>
        <v>1706.3999999999999</v>
      </c>
    </row>
    <row r="7" spans="1:29" x14ac:dyDescent="0.2">
      <c r="A7" s="2">
        <v>5</v>
      </c>
      <c r="B7" s="2">
        <v>26</v>
      </c>
      <c r="C7" s="2">
        <f>VLOOKUP('战宠数值模型-天'!$B7,'战宠数值模型-等级'!B7:O46,2)</f>
        <v>2296</v>
      </c>
      <c r="D7" s="2">
        <f>VLOOKUP('英雄数值模型-天'!$B7,'英雄数值模型-英雄等级'!$B$3:$L$42,3)</f>
        <v>189</v>
      </c>
      <c r="E7" s="2">
        <f>VLOOKUP('英雄数值模型-天'!$B7,'英雄数值模型-英雄等级'!$B$3:$L$42,4)</f>
        <v>189</v>
      </c>
      <c r="F7" s="2">
        <f>VLOOKUP('英雄数值模型-天'!$B7,'英雄数值模型-英雄等级'!$B$3:$L$42,5)</f>
        <v>4725</v>
      </c>
      <c r="G7" s="2">
        <f>VLOOKUP('英雄数值模型-天'!$B7,'英雄数值模型-英雄等级'!$B$3:$L$42,6)</f>
        <v>132.29999999999998</v>
      </c>
      <c r="H7" s="2">
        <f>VLOOKUP('英雄数值模型-天'!$B7,'英雄数值模型-英雄等级'!$B$3:$L$42,7)</f>
        <v>75.600000000000009</v>
      </c>
      <c r="I7" s="2">
        <f>VLOOKUP('英雄数值模型-天'!$B7,'英雄数值模型-英雄等级'!$B$3:$L$42,8)</f>
        <v>0.75600000000000001</v>
      </c>
      <c r="J7" s="2">
        <f>VLOOKUP('英雄数值模型-天'!$B7,'英雄数值模型-英雄等级'!$B$3:$L$42,9)</f>
        <v>0.6048</v>
      </c>
      <c r="K7" s="2">
        <f>VLOOKUP('英雄数值模型-天'!$B7,'英雄数值模型-英雄等级'!$B$3:$L$42,10)</f>
        <v>0</v>
      </c>
      <c r="L7" s="2">
        <f>VLOOKUP('英雄数值模型-天'!$B7,'英雄数值模型-英雄等级'!$B$3:$L$42,11)</f>
        <v>0</v>
      </c>
      <c r="M7" s="2">
        <f>VLOOKUP('战宠数值模型-天'!$B7,'战宠数值模型-等级'!$B$3:$O$42,12)</f>
        <v>49.199999999999996</v>
      </c>
      <c r="N7" s="2">
        <f>VLOOKUP('战宠数值模型-天'!$B7,'战宠数值模型-等级'!$B$3:$O$42,13)</f>
        <v>49.199999999999996</v>
      </c>
      <c r="O7" s="2">
        <f>VLOOKUP('战宠数值模型-天'!$B7,'战宠数值模型-等级'!$B$3:$O$42,14)</f>
        <v>1476</v>
      </c>
      <c r="P7" s="2">
        <v>27</v>
      </c>
      <c r="Q7" s="2">
        <f>VLOOKUP('战宠数值模型-天'!$P7,'战宠数值模型-等级'!$B$3:$AC$42,16)</f>
        <v>3094</v>
      </c>
      <c r="R7" s="2">
        <f>VLOOKUP('英雄数值模型-天'!$M7,'英雄数值模型-英雄等级'!$B$3:$U$42,14)</f>
        <v>312</v>
      </c>
      <c r="S7" s="2">
        <f>VLOOKUP('英雄数值模型-天'!$M7,'英雄数值模型-英雄等级'!$B$3:$U$42,15)</f>
        <v>312</v>
      </c>
      <c r="T7" s="2">
        <f>VLOOKUP('英雄数值模型-天'!$M7,'英雄数值模型-英雄等级'!$B$3:$U$42,16)</f>
        <v>7800</v>
      </c>
      <c r="U7" s="2">
        <f>VLOOKUP('英雄数值模型-天'!$M7,'英雄数值模型-英雄等级'!$B$3:$U$42,17)</f>
        <v>218.4</v>
      </c>
      <c r="V7" s="2">
        <f>VLOOKUP('英雄数值模型-天'!$M7,'英雄数值模型-英雄等级'!$B$3:$U$42,18)</f>
        <v>124.80000000000001</v>
      </c>
      <c r="W7" s="2">
        <f>VLOOKUP('英雄数值模型-天'!$M7,'英雄数值模型-英雄等级'!$B$3:$U$42,19)</f>
        <v>1.2480000000000002</v>
      </c>
      <c r="X7" s="2">
        <f>VLOOKUP('英雄数值模型-天'!$M7,'英雄数值模型-英雄等级'!$B$3:$U$42,20)</f>
        <v>0.99840000000000007</v>
      </c>
      <c r="Y7" s="2">
        <f>VLOOKUP('英雄数值模型-天'!$M7,'英雄数值模型-英雄等级'!$B$3:$W$42,21)</f>
        <v>0</v>
      </c>
      <c r="Z7" s="2">
        <f>VLOOKUP('英雄数值模型-天'!$M7,'英雄数值模型-英雄等级'!$B$3:$W$42,22)</f>
        <v>0</v>
      </c>
      <c r="AA7" s="2">
        <f>VLOOKUP('战宠数值模型-天'!$P7,'战宠数值模型-等级'!$B$3:$AC$42,26)</f>
        <v>66.3</v>
      </c>
      <c r="AB7" s="2">
        <f>VLOOKUP('战宠数值模型-天'!$P7,'战宠数值模型-等级'!$B$3:$AC$42,27)</f>
        <v>66.3</v>
      </c>
      <c r="AC7" s="2">
        <f>VLOOKUP('战宠数值模型-天'!$P7,'战宠数值模型-等级'!$B$3:$AC$42,28)</f>
        <v>1989</v>
      </c>
    </row>
    <row r="8" spans="1:29" x14ac:dyDescent="0.2">
      <c r="A8" s="2">
        <v>6</v>
      </c>
      <c r="B8" s="2">
        <v>28</v>
      </c>
      <c r="C8" s="2">
        <f>VLOOKUP('战宠数值模型-天'!$B8,'战宠数值模型-等级'!B8:O47,2)</f>
        <v>2464</v>
      </c>
      <c r="D8" s="2">
        <f>VLOOKUP('英雄数值模型-天'!$B8,'英雄数值模型-英雄等级'!$B$3:$L$42,3)</f>
        <v>201</v>
      </c>
      <c r="E8" s="2">
        <f>VLOOKUP('英雄数值模型-天'!$B8,'英雄数值模型-英雄等级'!$B$3:$L$42,4)</f>
        <v>201</v>
      </c>
      <c r="F8" s="2">
        <f>VLOOKUP('英雄数值模型-天'!$B8,'英雄数值模型-英雄等级'!$B$3:$L$42,5)</f>
        <v>5025</v>
      </c>
      <c r="G8" s="2">
        <f>VLOOKUP('英雄数值模型-天'!$B8,'英雄数值模型-英雄等级'!$B$3:$L$42,6)</f>
        <v>140.69999999999999</v>
      </c>
      <c r="H8" s="2">
        <f>VLOOKUP('英雄数值模型-天'!$B8,'英雄数值模型-英雄等级'!$B$3:$L$42,7)</f>
        <v>80.400000000000006</v>
      </c>
      <c r="I8" s="2">
        <f>VLOOKUP('英雄数值模型-天'!$B8,'英雄数值模型-英雄等级'!$B$3:$L$42,8)</f>
        <v>0.80400000000000005</v>
      </c>
      <c r="J8" s="2">
        <f>VLOOKUP('英雄数值模型-天'!$B8,'英雄数值模型-英雄等级'!$B$3:$L$42,9)</f>
        <v>0.64319999999999999</v>
      </c>
      <c r="K8" s="2">
        <f>VLOOKUP('英雄数值模型-天'!$B8,'英雄数值模型-英雄等级'!$B$3:$L$42,10)</f>
        <v>0</v>
      </c>
      <c r="L8" s="2">
        <f>VLOOKUP('英雄数值模型-天'!$B8,'英雄数值模型-英雄等级'!$B$3:$L$42,11)</f>
        <v>0</v>
      </c>
      <c r="M8" s="2">
        <f>VLOOKUP('战宠数值模型-天'!$B8,'战宠数值模型-等级'!$B$3:$O$42,12)</f>
        <v>52.8</v>
      </c>
      <c r="N8" s="2">
        <f>VLOOKUP('战宠数值模型-天'!$B8,'战宠数值模型-等级'!$B$3:$O$42,13)</f>
        <v>52.8</v>
      </c>
      <c r="O8" s="2">
        <f>VLOOKUP('战宠数值模型-天'!$B8,'战宠数值模型-等级'!$B$3:$O$42,14)</f>
        <v>1584</v>
      </c>
      <c r="P8" s="2">
        <v>29</v>
      </c>
      <c r="Q8" s="2">
        <f>VLOOKUP('战宠数值模型-天'!$P8,'战宠数值模型-等级'!$B$3:$AC$42,16)</f>
        <v>3312.4000000000005</v>
      </c>
      <c r="R8" s="2">
        <f>VLOOKUP('英雄数值模型-天'!$M8,'英雄数值模型-英雄等级'!$B$3:$U$42,14)</f>
        <v>331.20000000000005</v>
      </c>
      <c r="S8" s="2">
        <f>VLOOKUP('英雄数值模型-天'!$M8,'英雄数值模型-英雄等级'!$B$3:$U$42,15)</f>
        <v>331.20000000000005</v>
      </c>
      <c r="T8" s="2">
        <f>VLOOKUP('英雄数值模型-天'!$M8,'英雄数值模型-英雄等级'!$B$3:$U$42,16)</f>
        <v>8280</v>
      </c>
      <c r="U8" s="2">
        <f>VLOOKUP('英雄数值模型-天'!$M8,'英雄数值模型-英雄等级'!$B$3:$U$42,17)</f>
        <v>231.83999999999997</v>
      </c>
      <c r="V8" s="2">
        <f>VLOOKUP('英雄数值模型-天'!$M8,'英雄数值模型-英雄等级'!$B$3:$U$42,18)</f>
        <v>132.48000000000002</v>
      </c>
      <c r="W8" s="2">
        <f>VLOOKUP('英雄数值模型-天'!$M8,'英雄数值模型-英雄等级'!$B$3:$U$42,19)</f>
        <v>1.3248000000000002</v>
      </c>
      <c r="X8" s="2">
        <f>VLOOKUP('英雄数值模型-天'!$M8,'英雄数值模型-英雄等级'!$B$3:$U$42,20)</f>
        <v>1.0598400000000001</v>
      </c>
      <c r="Y8" s="2">
        <f>VLOOKUP('英雄数值模型-天'!$M8,'英雄数值模型-英雄等级'!$B$3:$W$42,21)</f>
        <v>0</v>
      </c>
      <c r="Z8" s="2">
        <f>VLOOKUP('英雄数值模型-天'!$M8,'英雄数值模型-英雄等级'!$B$3:$W$42,22)</f>
        <v>0</v>
      </c>
      <c r="AA8" s="2">
        <f>VLOOKUP('战宠数值模型-天'!$P8,'战宠数值模型-等级'!$B$3:$AC$42,26)</f>
        <v>70.98</v>
      </c>
      <c r="AB8" s="2">
        <f>VLOOKUP('战宠数值模型-天'!$P8,'战宠数值模型-等级'!$B$3:$AC$42,27)</f>
        <v>70.98</v>
      </c>
      <c r="AC8" s="2">
        <f>VLOOKUP('战宠数值模型-天'!$P8,'战宠数值模型-等级'!$B$3:$AC$42,28)</f>
        <v>2129.4</v>
      </c>
    </row>
    <row r="9" spans="1:29" x14ac:dyDescent="0.2">
      <c r="A9" s="2">
        <v>7</v>
      </c>
      <c r="B9" s="2">
        <v>29</v>
      </c>
      <c r="C9" s="2">
        <f>VLOOKUP('战宠数值模型-天'!$B9,'战宠数值模型-等级'!B9:O48,2)</f>
        <v>2548</v>
      </c>
      <c r="D9" s="2">
        <f>VLOOKUP('英雄数值模型-天'!$B9,'英雄数值模型-英雄等级'!$B$3:$L$42,3)</f>
        <v>207</v>
      </c>
      <c r="E9" s="2">
        <f>VLOOKUP('英雄数值模型-天'!$B9,'英雄数值模型-英雄等级'!$B$3:$L$42,4)</f>
        <v>207</v>
      </c>
      <c r="F9" s="2">
        <f>VLOOKUP('英雄数值模型-天'!$B9,'英雄数值模型-英雄等级'!$B$3:$L$42,5)</f>
        <v>5175</v>
      </c>
      <c r="G9" s="2">
        <f>VLOOKUP('英雄数值模型-天'!$B9,'英雄数值模型-英雄等级'!$B$3:$L$42,6)</f>
        <v>144.89999999999998</v>
      </c>
      <c r="H9" s="2">
        <f>VLOOKUP('英雄数值模型-天'!$B9,'英雄数值模型-英雄等级'!$B$3:$L$42,7)</f>
        <v>82.800000000000011</v>
      </c>
      <c r="I9" s="2">
        <f>VLOOKUP('英雄数值模型-天'!$B9,'英雄数值模型-英雄等级'!$B$3:$L$42,8)</f>
        <v>0.82800000000000007</v>
      </c>
      <c r="J9" s="2">
        <f>VLOOKUP('英雄数值模型-天'!$B9,'英雄数值模型-英雄等级'!$B$3:$L$42,9)</f>
        <v>0.66239999999999999</v>
      </c>
      <c r="K9" s="2">
        <f>VLOOKUP('英雄数值模型-天'!$B9,'英雄数值模型-英雄等级'!$B$3:$L$42,10)</f>
        <v>0</v>
      </c>
      <c r="L9" s="2">
        <f>VLOOKUP('英雄数值模型-天'!$B9,'英雄数值模型-英雄等级'!$B$3:$L$42,11)</f>
        <v>0</v>
      </c>
      <c r="M9" s="2">
        <f>VLOOKUP('战宠数值模型-天'!$B9,'战宠数值模型-等级'!$B$3:$O$42,12)</f>
        <v>54.6</v>
      </c>
      <c r="N9" s="2">
        <f>VLOOKUP('战宠数值模型-天'!$B9,'战宠数值模型-等级'!$B$3:$O$42,13)</f>
        <v>54.6</v>
      </c>
      <c r="O9" s="2">
        <f>VLOOKUP('战宠数值模型-天'!$B9,'战宠数值模型-等级'!$B$3:$O$42,14)</f>
        <v>1638</v>
      </c>
      <c r="P9" s="2">
        <v>30</v>
      </c>
      <c r="Q9" s="2">
        <f>VLOOKUP('战宠数值模型-天'!$P9,'战宠数值模型-等级'!$B$3:$AC$42,16)</f>
        <v>3421.6</v>
      </c>
      <c r="R9" s="2">
        <f>VLOOKUP('英雄数值模型-天'!$M9,'英雄数值模型-英雄等级'!$B$3:$U$42,14)</f>
        <v>340.8</v>
      </c>
      <c r="S9" s="2">
        <f>VLOOKUP('英雄数值模型-天'!$M9,'英雄数值模型-英雄等级'!$B$3:$U$42,15)</f>
        <v>340.8</v>
      </c>
      <c r="T9" s="2">
        <f>VLOOKUP('英雄数值模型-天'!$M9,'英雄数值模型-英雄等级'!$B$3:$U$42,16)</f>
        <v>8520</v>
      </c>
      <c r="U9" s="2">
        <f>VLOOKUP('英雄数值模型-天'!$M9,'英雄数值模型-英雄等级'!$B$3:$U$42,17)</f>
        <v>238.56</v>
      </c>
      <c r="V9" s="2">
        <f>VLOOKUP('英雄数值模型-天'!$M9,'英雄数值模型-英雄等级'!$B$3:$U$42,18)</f>
        <v>136.32000000000002</v>
      </c>
      <c r="W9" s="2">
        <f>VLOOKUP('英雄数值模型-天'!$M9,'英雄数值模型-英雄等级'!$B$3:$U$42,19)</f>
        <v>1.3632</v>
      </c>
      <c r="X9" s="2">
        <f>VLOOKUP('英雄数值模型-天'!$M9,'英雄数值模型-英雄等级'!$B$3:$U$42,20)</f>
        <v>1.09056</v>
      </c>
      <c r="Y9" s="2">
        <f>VLOOKUP('英雄数值模型-天'!$M9,'英雄数值模型-英雄等级'!$B$3:$W$42,21)</f>
        <v>0</v>
      </c>
      <c r="Z9" s="2">
        <f>VLOOKUP('英雄数值模型-天'!$M9,'英雄数值模型-英雄等级'!$B$3:$W$42,22)</f>
        <v>0</v>
      </c>
      <c r="AA9" s="2">
        <f>VLOOKUP('战宠数值模型-天'!$P9,'战宠数值模型-等级'!$B$3:$AC$42,26)</f>
        <v>73.320000000000007</v>
      </c>
      <c r="AB9" s="2">
        <f>VLOOKUP('战宠数值模型-天'!$P9,'战宠数值模型-等级'!$B$3:$AC$42,27)</f>
        <v>73.320000000000007</v>
      </c>
      <c r="AC9" s="2">
        <f>VLOOKUP('战宠数值模型-天'!$P9,'战宠数值模型-等级'!$B$3:$AC$42,28)</f>
        <v>2199.6</v>
      </c>
    </row>
    <row r="10" spans="1:29" x14ac:dyDescent="0.2">
      <c r="A10" s="2">
        <v>8</v>
      </c>
      <c r="B10" s="2">
        <v>30</v>
      </c>
      <c r="C10" s="2">
        <f>VLOOKUP('战宠数值模型-天'!$B10,'战宠数值模型-等级'!B10:O49,2)</f>
        <v>2632</v>
      </c>
      <c r="D10" s="2">
        <f>VLOOKUP('英雄数值模型-天'!$B10,'英雄数值模型-英雄等级'!$B$3:$L$42,3)</f>
        <v>213</v>
      </c>
      <c r="E10" s="2">
        <f>VLOOKUP('英雄数值模型-天'!$B10,'英雄数值模型-英雄等级'!$B$3:$L$42,4)</f>
        <v>213</v>
      </c>
      <c r="F10" s="2">
        <f>VLOOKUP('英雄数值模型-天'!$B10,'英雄数值模型-英雄等级'!$B$3:$L$42,5)</f>
        <v>5325</v>
      </c>
      <c r="G10" s="2">
        <f>VLOOKUP('英雄数值模型-天'!$B10,'英雄数值模型-英雄等级'!$B$3:$L$42,6)</f>
        <v>149.1</v>
      </c>
      <c r="H10" s="2">
        <f>VLOOKUP('英雄数值模型-天'!$B10,'英雄数值模型-英雄等级'!$B$3:$L$42,7)</f>
        <v>85.2</v>
      </c>
      <c r="I10" s="2">
        <f>VLOOKUP('英雄数值模型-天'!$B10,'英雄数值模型-英雄等级'!$B$3:$L$42,8)</f>
        <v>0.85199999999999998</v>
      </c>
      <c r="J10" s="2">
        <f>VLOOKUP('英雄数值模型-天'!$B10,'英雄数值模型-英雄等级'!$B$3:$L$42,9)</f>
        <v>0.68159999999999998</v>
      </c>
      <c r="K10" s="2">
        <f>VLOOKUP('英雄数值模型-天'!$B10,'英雄数值模型-英雄等级'!$B$3:$L$42,10)</f>
        <v>0</v>
      </c>
      <c r="L10" s="2">
        <f>VLOOKUP('英雄数值模型-天'!$B10,'英雄数值模型-英雄等级'!$B$3:$L$42,11)</f>
        <v>0</v>
      </c>
      <c r="M10" s="2">
        <f>VLOOKUP('战宠数值模型-天'!$B10,'战宠数值模型-等级'!$B$3:$O$42,12)</f>
        <v>56.4</v>
      </c>
      <c r="N10" s="2">
        <f>VLOOKUP('战宠数值模型-天'!$B10,'战宠数值模型-等级'!$B$3:$O$42,13)</f>
        <v>56.4</v>
      </c>
      <c r="O10" s="2">
        <f>VLOOKUP('战宠数值模型-天'!$B10,'战宠数值模型-等级'!$B$3:$O$42,14)</f>
        <v>1692</v>
      </c>
      <c r="P10" s="2">
        <v>31</v>
      </c>
      <c r="Q10" s="2">
        <f>VLOOKUP('战宠数值模型-天'!$P10,'战宠数值模型-等级'!$B$3:$AC$42,16)</f>
        <v>3530.7999999999997</v>
      </c>
      <c r="R10" s="2">
        <f>VLOOKUP('英雄数值模型-天'!$M10,'英雄数值模型-英雄等级'!$B$3:$U$42,14)</f>
        <v>350.40000000000003</v>
      </c>
      <c r="S10" s="2">
        <f>VLOOKUP('英雄数值模型-天'!$M10,'英雄数值模型-英雄等级'!$B$3:$U$42,15)</f>
        <v>350.40000000000003</v>
      </c>
      <c r="T10" s="2">
        <f>VLOOKUP('英雄数值模型-天'!$M10,'英雄数值模型-英雄等级'!$B$3:$U$42,16)</f>
        <v>8760</v>
      </c>
      <c r="U10" s="2">
        <f>VLOOKUP('英雄数值模型-天'!$M10,'英雄数值模型-英雄等级'!$B$3:$U$42,17)</f>
        <v>245.27999999999997</v>
      </c>
      <c r="V10" s="2">
        <f>VLOOKUP('英雄数值模型-天'!$M10,'英雄数值模型-英雄等级'!$B$3:$U$42,18)</f>
        <v>140.16000000000003</v>
      </c>
      <c r="W10" s="2">
        <f>VLOOKUP('英雄数值模型-天'!$M10,'英雄数值模型-英雄等级'!$B$3:$U$42,19)</f>
        <v>1.4016000000000002</v>
      </c>
      <c r="X10" s="2">
        <f>VLOOKUP('英雄数值模型-天'!$M10,'英雄数值模型-英雄等级'!$B$3:$U$42,20)</f>
        <v>1.1212800000000001</v>
      </c>
      <c r="Y10" s="2">
        <f>VLOOKUP('英雄数值模型-天'!$M10,'英雄数值模型-英雄等级'!$B$3:$W$42,21)</f>
        <v>0</v>
      </c>
      <c r="Z10" s="2">
        <f>VLOOKUP('英雄数值模型-天'!$M10,'英雄数值模型-英雄等级'!$B$3:$W$42,22)</f>
        <v>0</v>
      </c>
      <c r="AA10" s="2">
        <f>VLOOKUP('战宠数值模型-天'!$P10,'战宠数值模型-等级'!$B$3:$AC$42,26)</f>
        <v>75.66</v>
      </c>
      <c r="AB10" s="2">
        <f>VLOOKUP('战宠数值模型-天'!$P10,'战宠数值模型-等级'!$B$3:$AC$42,27)</f>
        <v>75.66</v>
      </c>
      <c r="AC10" s="2">
        <f>VLOOKUP('战宠数值模型-天'!$P10,'战宠数值模型-等级'!$B$3:$AC$42,28)</f>
        <v>2269.8000000000002</v>
      </c>
    </row>
  </sheetData>
  <mergeCells count="2">
    <mergeCell ref="B1:O1"/>
    <mergeCell ref="P1:AC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B2A5-B967-4557-BC86-5DDFD6128569}">
  <sheetPr>
    <tabColor theme="4" tint="-0.249977111117893"/>
  </sheetPr>
  <dimension ref="A1:S60"/>
  <sheetViews>
    <sheetView workbookViewId="0">
      <selection activeCell="M52" sqref="M52"/>
    </sheetView>
  </sheetViews>
  <sheetFormatPr defaultRowHeight="14.25" x14ac:dyDescent="0.2"/>
  <cols>
    <col min="1" max="1" width="9.125" customWidth="1"/>
  </cols>
  <sheetData>
    <row r="1" spans="1:19" x14ac:dyDescent="0.2">
      <c r="A1" s="10" t="s">
        <v>47</v>
      </c>
      <c r="B1" s="23" t="s">
        <v>85</v>
      </c>
      <c r="H1" s="150" t="s">
        <v>34</v>
      </c>
      <c r="I1" s="151"/>
      <c r="J1" s="151"/>
      <c r="K1" s="152"/>
      <c r="L1" s="159" t="s">
        <v>35</v>
      </c>
      <c r="M1" s="160"/>
      <c r="N1" s="160"/>
      <c r="O1" s="161"/>
      <c r="P1" s="156" t="s">
        <v>36</v>
      </c>
      <c r="Q1" s="157"/>
      <c r="R1" s="157"/>
      <c r="S1" s="158"/>
    </row>
    <row r="2" spans="1:19" x14ac:dyDescent="0.2">
      <c r="A2" s="9" t="s">
        <v>33</v>
      </c>
      <c r="B2" s="9" t="s">
        <v>1</v>
      </c>
      <c r="C2" s="9" t="s">
        <v>2</v>
      </c>
      <c r="D2" s="9" t="s">
        <v>3</v>
      </c>
      <c r="E2" s="9" t="s">
        <v>87</v>
      </c>
      <c r="H2" s="5" t="s">
        <v>33</v>
      </c>
      <c r="I2" s="5" t="s">
        <v>1</v>
      </c>
      <c r="J2" s="5" t="s">
        <v>2</v>
      </c>
      <c r="K2" s="5" t="s">
        <v>3</v>
      </c>
      <c r="L2" s="5" t="s">
        <v>37</v>
      </c>
      <c r="M2" s="5" t="s">
        <v>1</v>
      </c>
      <c r="N2" s="5" t="s">
        <v>2</v>
      </c>
      <c r="O2" s="5" t="s">
        <v>3</v>
      </c>
      <c r="P2" s="5" t="s">
        <v>37</v>
      </c>
      <c r="Q2" s="5" t="s">
        <v>1</v>
      </c>
      <c r="R2" s="5" t="s">
        <v>2</v>
      </c>
      <c r="S2" s="5" t="s">
        <v>3</v>
      </c>
    </row>
    <row r="3" spans="1:19" x14ac:dyDescent="0.2">
      <c r="A3" s="2">
        <v>1</v>
      </c>
      <c r="B3" s="2">
        <f>INT(IF(VLOOKUP($B$1,$A$45:$B$60,2,FALSE)=1,VLOOKUP($B$1,$A$45:$E$60,3,FALSE)*VLOOKUP($A3,$H$3:$K$42,2),IF(VLOOKUP($B$1,$A$45:$B$60,2,FALSE)=2,VLOOKUP($B$1,$A$45:$E$60,3,FALSE)*VLOOKUP($A3,$H$3:$O$42,6,FALSE),VLOOKUP($B$1,$A$45:$E$60,3,FALSE)*VLOOKUP($A3,$H$3:$S$42,10,FALSE))))</f>
        <v>28</v>
      </c>
      <c r="C3" s="2">
        <f>INT(IF(VLOOKUP($B$1,$A$45:$B$60,2,FALSE)=1,VLOOKUP($B$1,$A$45:$E$60,4,FALSE)*VLOOKUP($A3,$H$3:$K$42,3,FALSE),IF(VLOOKUP($B$1,$A$45:$B$60,2,FALSE)=2,VLOOKUP($B$1,$A$45:$E$60,4,FALSE)*VLOOKUP($A3,$H$3:$O$42,7,FALSE),VLOOKUP($B$1,$A$45:$E$60,4,FALSE)*VLOOKUP($A3,$H$3:$S$42,11,FALSE))))</f>
        <v>34</v>
      </c>
      <c r="D3" s="2">
        <f>INT(IF(VLOOKUP($B$1,$A$45:$B$60,2,FALSE)=1,VLOOKUP($B$1,$A$45:$E$60,5,FALSE)*VLOOKUP($A3,$H$3:$K$42,4,FALSE),IF(VLOOKUP($B$1,$A$45:$B$60,2,FALSE)=2,VLOOKUP($B$1,$A$45:$E$60,5,FALSE)*VLOOKUP($A3,$H$3:$O$42,8,FALSE),VLOOKUP($B$1,$A$45:$E$60,5,FALSE)*VLOOKUP($A3,$H$3:$S$42,12,FALSE))))</f>
        <v>907</v>
      </c>
      <c r="E3" s="4">
        <f>B3*战力关系!$B$2+C3*战力关系!$B$3+D3*战力关系!$B$4</f>
        <v>491.4</v>
      </c>
      <c r="H3" s="2">
        <v>1</v>
      </c>
      <c r="I3" s="6">
        <v>15</v>
      </c>
      <c r="J3" s="2">
        <f>I3</f>
        <v>15</v>
      </c>
      <c r="K3" s="2">
        <f>I3*25</f>
        <v>375</v>
      </c>
      <c r="L3" s="11">
        <v>1.6</v>
      </c>
      <c r="M3" s="4">
        <f>I3*L3</f>
        <v>24</v>
      </c>
      <c r="N3" s="4">
        <f>M3</f>
        <v>24</v>
      </c>
      <c r="O3" s="4">
        <f>M3*25</f>
        <v>600</v>
      </c>
      <c r="P3" s="7">
        <v>2.2000000000000002</v>
      </c>
      <c r="Q3" s="4">
        <f>I3*P3</f>
        <v>33</v>
      </c>
      <c r="R3" s="4">
        <f>Q3</f>
        <v>33</v>
      </c>
      <c r="S3" s="4">
        <f>Q3*25</f>
        <v>825</v>
      </c>
    </row>
    <row r="4" spans="1:19" x14ac:dyDescent="0.2">
      <c r="A4" s="2">
        <v>2</v>
      </c>
      <c r="B4" s="2">
        <f t="shared" ref="B4:B42" si="0">INT(IF(VLOOKUP($B$1,$A$45:$B$60,2,FALSE)=1,VLOOKUP($B$1,$A$45:$E$60,3,FALSE)*VLOOKUP($A4,$H$3:$K$42,2),IF(VLOOKUP($B$1,$A$45:$B$60,2,FALSE)=2,VLOOKUP($B$1,$A$45:$E$60,3,FALSE)*VLOOKUP($A4,$H$3:$O$42,6,FALSE),VLOOKUP($B$1,$A$45:$E$60,3,FALSE)*VLOOKUP($A4,$H$3:$S$42,10,FALSE))))</f>
        <v>30</v>
      </c>
      <c r="C4" s="2">
        <f t="shared" ref="C4:C42" si="1">INT(IF(VLOOKUP($B$1,$A$45:$B$60,2,FALSE)=1,VLOOKUP($B$1,$A$45:$E$60,4,FALSE)*VLOOKUP($A4,$H$3:$K$42,3,FALSE),IF(VLOOKUP($B$1,$A$45:$B$60,2,FALSE)=2,VLOOKUP($B$1,$A$45:$E$60,4,FALSE)*VLOOKUP($A4,$H$3:$O$42,7,FALSE),VLOOKUP($B$1,$A$45:$E$60,4,FALSE)*VLOOKUP($A4,$H$3:$S$42,11,FALSE))))</f>
        <v>37</v>
      </c>
      <c r="D4" s="2">
        <f t="shared" ref="D4:D42" si="2">INT(IF(VLOOKUP($B$1,$A$45:$B$60,2,FALSE)=1,VLOOKUP($B$1,$A$45:$E$60,5,FALSE)*VLOOKUP($A4,$H$3:$K$42,4,FALSE),IF(VLOOKUP($B$1,$A$45:$B$60,2,FALSE)=2,VLOOKUP($B$1,$A$45:$E$60,5,FALSE)*VLOOKUP($A4,$H$3:$O$42,8,FALSE),VLOOKUP($B$1,$A$45:$E$60,5,FALSE)*VLOOKUP($A4,$H$3:$S$42,12,FALSE))))</f>
        <v>981</v>
      </c>
      <c r="E4" s="4">
        <f>B4*战力关系!$B$2+C4*战力关系!$B$3+D4*战力关系!$B$4</f>
        <v>531.20000000000005</v>
      </c>
      <c r="H4" s="2">
        <v>2</v>
      </c>
      <c r="I4" s="6">
        <v>17</v>
      </c>
      <c r="J4" s="2">
        <f t="shared" ref="J4:J42" si="3">I4</f>
        <v>17</v>
      </c>
      <c r="K4" s="2">
        <f t="shared" ref="K4:K42" si="4">I4*25</f>
        <v>425</v>
      </c>
      <c r="L4" s="11">
        <v>1.53</v>
      </c>
      <c r="M4" s="4">
        <f t="shared" ref="M4:M42" si="5">I4*L4</f>
        <v>26.01</v>
      </c>
      <c r="N4" s="4">
        <f t="shared" ref="N4:N42" si="6">M4</f>
        <v>26.01</v>
      </c>
      <c r="O4" s="4">
        <f t="shared" ref="O4:O42" si="7">M4*25</f>
        <v>650.25</v>
      </c>
      <c r="P4" s="7">
        <v>2.1</v>
      </c>
      <c r="Q4" s="4">
        <f>I4*P4</f>
        <v>35.700000000000003</v>
      </c>
      <c r="R4" s="4">
        <f t="shared" ref="R4:R42" si="8">Q4</f>
        <v>35.700000000000003</v>
      </c>
      <c r="S4" s="4">
        <f t="shared" ref="S4:S42" si="9">Q4*25</f>
        <v>892.50000000000011</v>
      </c>
    </row>
    <row r="5" spans="1:19" x14ac:dyDescent="0.2">
      <c r="A5" s="2">
        <v>3</v>
      </c>
      <c r="B5" s="2">
        <f t="shared" si="0"/>
        <v>32</v>
      </c>
      <c r="C5" s="2">
        <f t="shared" si="1"/>
        <v>40</v>
      </c>
      <c r="D5" s="2">
        <f t="shared" si="2"/>
        <v>1055</v>
      </c>
      <c r="E5" s="4">
        <f>B5*战力关系!$B$2+C5*战力关系!$B$3+D5*战力关系!$B$4</f>
        <v>571</v>
      </c>
      <c r="H5" s="2">
        <v>3</v>
      </c>
      <c r="I5" s="6">
        <v>19</v>
      </c>
      <c r="J5" s="2">
        <f t="shared" si="3"/>
        <v>19</v>
      </c>
      <c r="K5" s="2">
        <f t="shared" si="4"/>
        <v>475</v>
      </c>
      <c r="L5" s="11">
        <v>1.48</v>
      </c>
      <c r="M5" s="4">
        <f t="shared" si="5"/>
        <v>28.12</v>
      </c>
      <c r="N5" s="4">
        <f t="shared" si="6"/>
        <v>28.12</v>
      </c>
      <c r="O5" s="4">
        <f t="shared" si="7"/>
        <v>703</v>
      </c>
      <c r="P5" s="7">
        <v>2.02</v>
      </c>
      <c r="Q5" s="4">
        <f t="shared" ref="Q5:Q42" si="10">I5*P5</f>
        <v>38.380000000000003</v>
      </c>
      <c r="R5" s="4">
        <f t="shared" si="8"/>
        <v>38.380000000000003</v>
      </c>
      <c r="S5" s="4">
        <f t="shared" si="9"/>
        <v>959.50000000000011</v>
      </c>
    </row>
    <row r="6" spans="1:19" x14ac:dyDescent="0.2">
      <c r="A6" s="2">
        <v>4</v>
      </c>
      <c r="B6" s="2">
        <f t="shared" si="0"/>
        <v>35</v>
      </c>
      <c r="C6" s="2">
        <f t="shared" si="1"/>
        <v>43</v>
      </c>
      <c r="D6" s="2">
        <f t="shared" si="2"/>
        <v>1143</v>
      </c>
      <c r="E6" s="4">
        <f>B6*战力关系!$B$2+C6*战力关系!$B$3+D6*战力关系!$B$4</f>
        <v>618.6</v>
      </c>
      <c r="H6" s="2">
        <v>4</v>
      </c>
      <c r="I6" s="6">
        <v>21</v>
      </c>
      <c r="J6" s="2">
        <f t="shared" si="3"/>
        <v>21</v>
      </c>
      <c r="K6" s="2">
        <f t="shared" si="4"/>
        <v>525</v>
      </c>
      <c r="L6" s="11">
        <v>1.46</v>
      </c>
      <c r="M6" s="4">
        <f t="shared" si="5"/>
        <v>30.66</v>
      </c>
      <c r="N6" s="4">
        <f t="shared" si="6"/>
        <v>30.66</v>
      </c>
      <c r="O6" s="4">
        <f t="shared" si="7"/>
        <v>766.5</v>
      </c>
      <c r="P6" s="7">
        <v>1.98</v>
      </c>
      <c r="Q6" s="4">
        <f t="shared" si="10"/>
        <v>41.58</v>
      </c>
      <c r="R6" s="4">
        <f t="shared" si="8"/>
        <v>41.58</v>
      </c>
      <c r="S6" s="4">
        <f t="shared" si="9"/>
        <v>1039.5</v>
      </c>
    </row>
    <row r="7" spans="1:19" x14ac:dyDescent="0.2">
      <c r="A7" s="2">
        <v>5</v>
      </c>
      <c r="B7" s="2">
        <f t="shared" si="0"/>
        <v>38</v>
      </c>
      <c r="C7" s="2">
        <f t="shared" si="1"/>
        <v>47</v>
      </c>
      <c r="D7" s="2">
        <f t="shared" si="2"/>
        <v>1239</v>
      </c>
      <c r="E7" s="4">
        <f>B7*战力关系!$B$2+C7*战力关系!$B$3+D7*战力关系!$B$4</f>
        <v>672.8</v>
      </c>
      <c r="H7" s="2">
        <v>5</v>
      </c>
      <c r="I7" s="6">
        <v>23</v>
      </c>
      <c r="J7" s="2">
        <f t="shared" si="3"/>
        <v>23</v>
      </c>
      <c r="K7" s="2">
        <f t="shared" si="4"/>
        <v>575</v>
      </c>
      <c r="L7" s="11">
        <v>1.44</v>
      </c>
      <c r="M7" s="4">
        <f t="shared" si="5"/>
        <v>33.119999999999997</v>
      </c>
      <c r="N7" s="4">
        <f t="shared" si="6"/>
        <v>33.119999999999997</v>
      </c>
      <c r="O7" s="4">
        <f t="shared" si="7"/>
        <v>827.99999999999989</v>
      </c>
      <c r="P7" s="7">
        <v>1.96</v>
      </c>
      <c r="Q7" s="4">
        <f t="shared" si="10"/>
        <v>45.08</v>
      </c>
      <c r="R7" s="4">
        <f t="shared" si="8"/>
        <v>45.08</v>
      </c>
      <c r="S7" s="4">
        <f t="shared" si="9"/>
        <v>1127</v>
      </c>
    </row>
    <row r="8" spans="1:19" x14ac:dyDescent="0.2">
      <c r="A8" s="2">
        <v>6</v>
      </c>
      <c r="B8" s="2">
        <f t="shared" si="0"/>
        <v>41</v>
      </c>
      <c r="C8" s="2">
        <f t="shared" si="1"/>
        <v>50</v>
      </c>
      <c r="D8" s="2">
        <f t="shared" si="2"/>
        <v>1333</v>
      </c>
      <c r="E8" s="4">
        <f>B8*战力关系!$B$2+C8*战力关系!$B$3+D8*战力关系!$B$4</f>
        <v>721.6</v>
      </c>
      <c r="H8" s="2">
        <v>6</v>
      </c>
      <c r="I8" s="6">
        <v>25</v>
      </c>
      <c r="J8" s="2">
        <f t="shared" si="3"/>
        <v>25</v>
      </c>
      <c r="K8" s="2">
        <f t="shared" si="4"/>
        <v>625</v>
      </c>
      <c r="L8" s="11">
        <v>1.42</v>
      </c>
      <c r="M8" s="4">
        <f t="shared" si="5"/>
        <v>35.5</v>
      </c>
      <c r="N8" s="4">
        <f t="shared" si="6"/>
        <v>35.5</v>
      </c>
      <c r="O8" s="4">
        <f t="shared" si="7"/>
        <v>887.5</v>
      </c>
      <c r="P8" s="7">
        <v>1.94</v>
      </c>
      <c r="Q8" s="4">
        <f t="shared" si="10"/>
        <v>48.5</v>
      </c>
      <c r="R8" s="4">
        <f t="shared" si="8"/>
        <v>48.5</v>
      </c>
      <c r="S8" s="4">
        <f t="shared" si="9"/>
        <v>1212.5</v>
      </c>
    </row>
    <row r="9" spans="1:19" x14ac:dyDescent="0.2">
      <c r="A9" s="2">
        <v>7</v>
      </c>
      <c r="B9" s="2">
        <f t="shared" si="0"/>
        <v>44</v>
      </c>
      <c r="C9" s="2">
        <f t="shared" si="1"/>
        <v>54</v>
      </c>
      <c r="D9" s="2">
        <f t="shared" si="2"/>
        <v>1425</v>
      </c>
      <c r="E9" s="4">
        <f>B9*战力关系!$B$2+C9*战力关系!$B$3+D9*战力关系!$B$4</f>
        <v>775</v>
      </c>
      <c r="H9" s="2">
        <v>7</v>
      </c>
      <c r="I9" s="6">
        <v>27</v>
      </c>
      <c r="J9" s="2">
        <f t="shared" si="3"/>
        <v>27</v>
      </c>
      <c r="K9" s="2">
        <f t="shared" si="4"/>
        <v>675</v>
      </c>
      <c r="L9" s="11">
        <v>1.4</v>
      </c>
      <c r="M9" s="4">
        <f t="shared" si="5"/>
        <v>37.799999999999997</v>
      </c>
      <c r="N9" s="4">
        <f t="shared" si="6"/>
        <v>37.799999999999997</v>
      </c>
      <c r="O9" s="4">
        <f t="shared" si="7"/>
        <v>944.99999999999989</v>
      </c>
      <c r="P9" s="7">
        <v>1.92</v>
      </c>
      <c r="Q9" s="4">
        <f t="shared" si="10"/>
        <v>51.839999999999996</v>
      </c>
      <c r="R9" s="4">
        <f t="shared" si="8"/>
        <v>51.839999999999996</v>
      </c>
      <c r="S9" s="4">
        <f t="shared" si="9"/>
        <v>1296</v>
      </c>
    </row>
    <row r="10" spans="1:19" x14ac:dyDescent="0.2">
      <c r="A10" s="2">
        <v>8</v>
      </c>
      <c r="B10" s="2">
        <f t="shared" si="0"/>
        <v>46</v>
      </c>
      <c r="C10" s="2">
        <f t="shared" si="1"/>
        <v>57</v>
      </c>
      <c r="D10" s="2">
        <f t="shared" si="2"/>
        <v>1515</v>
      </c>
      <c r="E10" s="4">
        <f>B10*战力关系!$B$2+C10*战力关系!$B$3+D10*战力关系!$B$4</f>
        <v>818</v>
      </c>
      <c r="H10" s="2">
        <v>8</v>
      </c>
      <c r="I10" s="6">
        <v>29</v>
      </c>
      <c r="J10" s="2">
        <f t="shared" si="3"/>
        <v>29</v>
      </c>
      <c r="K10" s="2">
        <f t="shared" si="4"/>
        <v>725</v>
      </c>
      <c r="L10" s="11">
        <v>1.38</v>
      </c>
      <c r="M10" s="4">
        <f t="shared" si="5"/>
        <v>40.019999999999996</v>
      </c>
      <c r="N10" s="4">
        <f t="shared" si="6"/>
        <v>40.019999999999996</v>
      </c>
      <c r="O10" s="4">
        <f t="shared" si="7"/>
        <v>1000.4999999999999</v>
      </c>
      <c r="P10" s="7">
        <v>1.9</v>
      </c>
      <c r="Q10" s="4">
        <f t="shared" si="10"/>
        <v>55.099999999999994</v>
      </c>
      <c r="R10" s="4">
        <f t="shared" si="8"/>
        <v>55.099999999999994</v>
      </c>
      <c r="S10" s="4">
        <f t="shared" si="9"/>
        <v>1377.4999999999998</v>
      </c>
    </row>
    <row r="11" spans="1:19" x14ac:dyDescent="0.2">
      <c r="A11" s="2">
        <v>9</v>
      </c>
      <c r="B11" s="2">
        <f t="shared" si="0"/>
        <v>49</v>
      </c>
      <c r="C11" s="2">
        <f t="shared" si="1"/>
        <v>61</v>
      </c>
      <c r="D11" s="2">
        <f t="shared" si="2"/>
        <v>1602</v>
      </c>
      <c r="E11" s="4">
        <f>B11*战力关系!$B$2+C11*战力关系!$B$3+D11*战力关系!$B$4</f>
        <v>870.40000000000009</v>
      </c>
      <c r="H11" s="2">
        <v>9</v>
      </c>
      <c r="I11" s="6">
        <v>31</v>
      </c>
      <c r="J11" s="2">
        <f t="shared" si="3"/>
        <v>31</v>
      </c>
      <c r="K11" s="2">
        <f t="shared" si="4"/>
        <v>775</v>
      </c>
      <c r="L11" s="11">
        <v>1.37</v>
      </c>
      <c r="M11" s="4">
        <f t="shared" si="5"/>
        <v>42.470000000000006</v>
      </c>
      <c r="N11" s="4">
        <f t="shared" si="6"/>
        <v>42.470000000000006</v>
      </c>
      <c r="O11" s="4">
        <f t="shared" si="7"/>
        <v>1061.7500000000002</v>
      </c>
      <c r="P11" s="7">
        <v>1.88</v>
      </c>
      <c r="Q11" s="4">
        <f t="shared" si="10"/>
        <v>58.279999999999994</v>
      </c>
      <c r="R11" s="4">
        <f t="shared" si="8"/>
        <v>58.279999999999994</v>
      </c>
      <c r="S11" s="4">
        <f t="shared" si="9"/>
        <v>1456.9999999999998</v>
      </c>
    </row>
    <row r="12" spans="1:19" x14ac:dyDescent="0.2">
      <c r="A12" s="2">
        <v>10</v>
      </c>
      <c r="B12" s="2">
        <f t="shared" si="0"/>
        <v>52</v>
      </c>
      <c r="C12" s="2">
        <f t="shared" si="1"/>
        <v>64</v>
      </c>
      <c r="D12" s="2">
        <f t="shared" si="2"/>
        <v>1697</v>
      </c>
      <c r="E12" s="4">
        <f>B12*战力关系!$B$2+C12*战力关系!$B$3+D12*战力关系!$B$4</f>
        <v>919.40000000000009</v>
      </c>
      <c r="H12" s="2">
        <v>10</v>
      </c>
      <c r="I12" s="6">
        <v>33</v>
      </c>
      <c r="J12" s="2">
        <f t="shared" si="3"/>
        <v>33</v>
      </c>
      <c r="K12" s="2">
        <f t="shared" si="4"/>
        <v>825</v>
      </c>
      <c r="L12" s="11">
        <v>1.36</v>
      </c>
      <c r="M12" s="4">
        <f t="shared" si="5"/>
        <v>44.88</v>
      </c>
      <c r="N12" s="4">
        <f t="shared" si="6"/>
        <v>44.88</v>
      </c>
      <c r="O12" s="4">
        <f t="shared" si="7"/>
        <v>1122</v>
      </c>
      <c r="P12" s="7">
        <v>1.87</v>
      </c>
      <c r="Q12" s="4">
        <f t="shared" si="10"/>
        <v>61.71</v>
      </c>
      <c r="R12" s="4">
        <f t="shared" si="8"/>
        <v>61.71</v>
      </c>
      <c r="S12" s="4">
        <f t="shared" si="9"/>
        <v>1542.75</v>
      </c>
    </row>
    <row r="13" spans="1:19" x14ac:dyDescent="0.2">
      <c r="A13" s="2">
        <v>11</v>
      </c>
      <c r="B13" s="2">
        <f t="shared" si="0"/>
        <v>55</v>
      </c>
      <c r="C13" s="2">
        <f t="shared" si="1"/>
        <v>68</v>
      </c>
      <c r="D13" s="2">
        <f t="shared" si="2"/>
        <v>1790</v>
      </c>
      <c r="E13" s="4">
        <f>B13*战力关系!$B$2+C13*战力关系!$B$3+D13*战力关系!$B$4</f>
        <v>973</v>
      </c>
      <c r="H13" s="2">
        <v>11</v>
      </c>
      <c r="I13" s="6">
        <v>35</v>
      </c>
      <c r="J13" s="2">
        <f t="shared" si="3"/>
        <v>35</v>
      </c>
      <c r="K13" s="2">
        <f t="shared" si="4"/>
        <v>875</v>
      </c>
      <c r="L13" s="11">
        <v>1.35</v>
      </c>
      <c r="M13" s="4">
        <f t="shared" si="5"/>
        <v>47.25</v>
      </c>
      <c r="N13" s="4">
        <f t="shared" si="6"/>
        <v>47.25</v>
      </c>
      <c r="O13" s="4">
        <f t="shared" si="7"/>
        <v>1181.25</v>
      </c>
      <c r="P13" s="7">
        <v>1.86</v>
      </c>
      <c r="Q13" s="4">
        <f t="shared" si="10"/>
        <v>65.100000000000009</v>
      </c>
      <c r="R13" s="4">
        <f t="shared" si="8"/>
        <v>65.100000000000009</v>
      </c>
      <c r="S13" s="4">
        <f t="shared" si="9"/>
        <v>1627.5000000000002</v>
      </c>
    </row>
    <row r="14" spans="1:19" x14ac:dyDescent="0.2">
      <c r="A14" s="2">
        <v>12</v>
      </c>
      <c r="B14" s="2">
        <f t="shared" si="0"/>
        <v>58</v>
      </c>
      <c r="C14" s="2">
        <f t="shared" si="1"/>
        <v>71</v>
      </c>
      <c r="D14" s="2">
        <f t="shared" si="2"/>
        <v>1882</v>
      </c>
      <c r="E14" s="4">
        <f>B14*战力关系!$B$2+C14*战力关系!$B$3+D14*战力关系!$B$4</f>
        <v>1021.4000000000001</v>
      </c>
      <c r="H14" s="2">
        <v>12</v>
      </c>
      <c r="I14" s="6">
        <v>37</v>
      </c>
      <c r="J14" s="2">
        <f t="shared" si="3"/>
        <v>37</v>
      </c>
      <c r="K14" s="2">
        <f t="shared" si="4"/>
        <v>925</v>
      </c>
      <c r="L14" s="11">
        <v>1.35</v>
      </c>
      <c r="M14" s="4">
        <f t="shared" si="5"/>
        <v>49.95</v>
      </c>
      <c r="N14" s="4">
        <f t="shared" si="6"/>
        <v>49.95</v>
      </c>
      <c r="O14" s="4">
        <f t="shared" si="7"/>
        <v>1248.75</v>
      </c>
      <c r="P14" s="7">
        <v>1.85</v>
      </c>
      <c r="Q14" s="4">
        <f t="shared" si="10"/>
        <v>68.45</v>
      </c>
      <c r="R14" s="4">
        <f t="shared" si="8"/>
        <v>68.45</v>
      </c>
      <c r="S14" s="4">
        <f t="shared" si="9"/>
        <v>1711.25</v>
      </c>
    </row>
    <row r="15" spans="1:19" x14ac:dyDescent="0.2">
      <c r="A15" s="2">
        <v>13</v>
      </c>
      <c r="B15" s="2">
        <f t="shared" si="0"/>
        <v>60</v>
      </c>
      <c r="C15" s="2">
        <f t="shared" si="1"/>
        <v>75</v>
      </c>
      <c r="D15" s="2">
        <f t="shared" si="2"/>
        <v>1973</v>
      </c>
      <c r="E15" s="4">
        <f>B15*战力关系!$B$2+C15*战力关系!$B$3+D15*战力关系!$B$4</f>
        <v>1069.5999999999999</v>
      </c>
      <c r="H15" s="2">
        <v>13</v>
      </c>
      <c r="I15" s="6">
        <v>39</v>
      </c>
      <c r="J15" s="2">
        <f t="shared" si="3"/>
        <v>39</v>
      </c>
      <c r="K15" s="2">
        <f t="shared" si="4"/>
        <v>975</v>
      </c>
      <c r="L15" s="11">
        <v>1.35</v>
      </c>
      <c r="M15" s="4">
        <f t="shared" si="5"/>
        <v>52.650000000000006</v>
      </c>
      <c r="N15" s="4">
        <f t="shared" si="6"/>
        <v>52.650000000000006</v>
      </c>
      <c r="O15" s="4">
        <f t="shared" si="7"/>
        <v>1316.2500000000002</v>
      </c>
      <c r="P15" s="7">
        <v>1.84</v>
      </c>
      <c r="Q15" s="4">
        <f t="shared" si="10"/>
        <v>71.760000000000005</v>
      </c>
      <c r="R15" s="4">
        <f t="shared" si="8"/>
        <v>71.760000000000005</v>
      </c>
      <c r="S15" s="4">
        <f t="shared" si="9"/>
        <v>1794.0000000000002</v>
      </c>
    </row>
    <row r="16" spans="1:19" x14ac:dyDescent="0.2">
      <c r="A16" s="2">
        <v>14</v>
      </c>
      <c r="B16" s="2">
        <f t="shared" si="0"/>
        <v>63</v>
      </c>
      <c r="C16" s="2">
        <f t="shared" si="1"/>
        <v>78</v>
      </c>
      <c r="D16" s="2">
        <f t="shared" si="2"/>
        <v>2063</v>
      </c>
      <c r="E16" s="4">
        <f>B16*战力关系!$B$2+C16*战力关系!$B$3+D16*战力关系!$B$4</f>
        <v>1117.5999999999999</v>
      </c>
      <c r="H16" s="2">
        <v>14</v>
      </c>
      <c r="I16" s="6">
        <v>41</v>
      </c>
      <c r="J16" s="2">
        <f t="shared" si="3"/>
        <v>41</v>
      </c>
      <c r="K16" s="2">
        <f t="shared" si="4"/>
        <v>1025</v>
      </c>
      <c r="L16" s="11">
        <v>1.34</v>
      </c>
      <c r="M16" s="4">
        <f t="shared" si="5"/>
        <v>54.940000000000005</v>
      </c>
      <c r="N16" s="4">
        <f t="shared" si="6"/>
        <v>54.940000000000005</v>
      </c>
      <c r="O16" s="4">
        <f t="shared" si="7"/>
        <v>1373.5000000000002</v>
      </c>
      <c r="P16" s="7">
        <v>1.83</v>
      </c>
      <c r="Q16" s="4">
        <f t="shared" si="10"/>
        <v>75.03</v>
      </c>
      <c r="R16" s="4">
        <f t="shared" si="8"/>
        <v>75.03</v>
      </c>
      <c r="S16" s="4">
        <f t="shared" si="9"/>
        <v>1875.75</v>
      </c>
    </row>
    <row r="17" spans="1:19" x14ac:dyDescent="0.2">
      <c r="A17" s="2">
        <v>15</v>
      </c>
      <c r="B17" s="2">
        <f t="shared" si="0"/>
        <v>66</v>
      </c>
      <c r="C17" s="2">
        <f t="shared" si="1"/>
        <v>82</v>
      </c>
      <c r="D17" s="2">
        <f t="shared" si="2"/>
        <v>2152</v>
      </c>
      <c r="E17" s="4">
        <f>B17*战力关系!$B$2+C17*战力关系!$B$3+D17*战力关系!$B$4</f>
        <v>1170.4000000000001</v>
      </c>
      <c r="H17" s="2">
        <v>15</v>
      </c>
      <c r="I17" s="6">
        <v>43</v>
      </c>
      <c r="J17" s="2">
        <f t="shared" si="3"/>
        <v>43</v>
      </c>
      <c r="K17" s="2">
        <f t="shared" si="4"/>
        <v>1075</v>
      </c>
      <c r="L17" s="11">
        <v>1.34</v>
      </c>
      <c r="M17" s="4">
        <f t="shared" si="5"/>
        <v>57.620000000000005</v>
      </c>
      <c r="N17" s="4">
        <f t="shared" si="6"/>
        <v>57.620000000000005</v>
      </c>
      <c r="O17" s="4">
        <f t="shared" si="7"/>
        <v>1440.5</v>
      </c>
      <c r="P17" s="7">
        <v>1.82</v>
      </c>
      <c r="Q17" s="4">
        <f t="shared" si="10"/>
        <v>78.260000000000005</v>
      </c>
      <c r="R17" s="4">
        <f t="shared" si="8"/>
        <v>78.260000000000005</v>
      </c>
      <c r="S17" s="4">
        <f t="shared" si="9"/>
        <v>1956.5000000000002</v>
      </c>
    </row>
    <row r="18" spans="1:19" x14ac:dyDescent="0.2">
      <c r="A18" s="2">
        <v>16</v>
      </c>
      <c r="B18" s="2">
        <f t="shared" si="0"/>
        <v>69</v>
      </c>
      <c r="C18" s="2">
        <f t="shared" si="1"/>
        <v>85</v>
      </c>
      <c r="D18" s="2">
        <f t="shared" si="2"/>
        <v>2252</v>
      </c>
      <c r="E18" s="4">
        <f>B18*战力关系!$B$2+C18*战力关系!$B$3+D18*战力关系!$B$4</f>
        <v>1220.4000000000001</v>
      </c>
      <c r="H18" s="2">
        <v>16</v>
      </c>
      <c r="I18" s="6">
        <v>45</v>
      </c>
      <c r="J18" s="2">
        <f t="shared" si="3"/>
        <v>45</v>
      </c>
      <c r="K18" s="2">
        <f t="shared" si="4"/>
        <v>1125</v>
      </c>
      <c r="L18" s="11">
        <v>1.34</v>
      </c>
      <c r="M18" s="4">
        <f t="shared" si="5"/>
        <v>60.300000000000004</v>
      </c>
      <c r="N18" s="4">
        <f t="shared" si="6"/>
        <v>60.300000000000004</v>
      </c>
      <c r="O18" s="4">
        <f t="shared" si="7"/>
        <v>1507.5</v>
      </c>
      <c r="P18" s="7">
        <v>1.82</v>
      </c>
      <c r="Q18" s="4">
        <f t="shared" si="10"/>
        <v>81.900000000000006</v>
      </c>
      <c r="R18" s="4">
        <f t="shared" si="8"/>
        <v>81.900000000000006</v>
      </c>
      <c r="S18" s="4">
        <f t="shared" si="9"/>
        <v>2047.5000000000002</v>
      </c>
    </row>
    <row r="19" spans="1:19" x14ac:dyDescent="0.2">
      <c r="A19" s="2">
        <v>17</v>
      </c>
      <c r="B19" s="2">
        <f t="shared" si="0"/>
        <v>72</v>
      </c>
      <c r="C19" s="2">
        <f t="shared" si="1"/>
        <v>89</v>
      </c>
      <c r="D19" s="2">
        <f t="shared" si="2"/>
        <v>2352</v>
      </c>
      <c r="E19" s="4">
        <f>B19*战力关系!$B$2+C19*战力关系!$B$3+D19*战力关系!$B$4</f>
        <v>1275.4000000000001</v>
      </c>
      <c r="H19" s="2">
        <v>17</v>
      </c>
      <c r="I19" s="6">
        <v>47</v>
      </c>
      <c r="J19" s="2">
        <f t="shared" si="3"/>
        <v>47</v>
      </c>
      <c r="K19" s="2">
        <f t="shared" si="4"/>
        <v>1175</v>
      </c>
      <c r="L19" s="11">
        <v>1.33</v>
      </c>
      <c r="M19" s="4">
        <f t="shared" si="5"/>
        <v>62.510000000000005</v>
      </c>
      <c r="N19" s="4">
        <f t="shared" si="6"/>
        <v>62.510000000000005</v>
      </c>
      <c r="O19" s="4">
        <f t="shared" si="7"/>
        <v>1562.7500000000002</v>
      </c>
      <c r="P19" s="7">
        <v>1.82</v>
      </c>
      <c r="Q19" s="4">
        <f t="shared" si="10"/>
        <v>85.54</v>
      </c>
      <c r="R19" s="4">
        <f t="shared" si="8"/>
        <v>85.54</v>
      </c>
      <c r="S19" s="4">
        <f t="shared" si="9"/>
        <v>2138.5</v>
      </c>
    </row>
    <row r="20" spans="1:19" x14ac:dyDescent="0.2">
      <c r="A20" s="2">
        <v>18</v>
      </c>
      <c r="B20" s="2">
        <f t="shared" si="0"/>
        <v>75</v>
      </c>
      <c r="C20" s="2">
        <f t="shared" si="1"/>
        <v>93</v>
      </c>
      <c r="D20" s="2">
        <f t="shared" si="2"/>
        <v>2452</v>
      </c>
      <c r="E20" s="4">
        <f>B20*战力关系!$B$2+C20*战力关系!$B$3+D20*战力关系!$B$4</f>
        <v>1330.4</v>
      </c>
      <c r="H20" s="2">
        <v>18</v>
      </c>
      <c r="I20" s="6">
        <v>49</v>
      </c>
      <c r="J20" s="2">
        <f t="shared" si="3"/>
        <v>49</v>
      </c>
      <c r="K20" s="2">
        <f t="shared" si="4"/>
        <v>1225</v>
      </c>
      <c r="L20" s="11">
        <v>1.33</v>
      </c>
      <c r="M20" s="4">
        <f t="shared" si="5"/>
        <v>65.17</v>
      </c>
      <c r="N20" s="4">
        <f t="shared" si="6"/>
        <v>65.17</v>
      </c>
      <c r="O20" s="4">
        <f t="shared" si="7"/>
        <v>1629.25</v>
      </c>
      <c r="P20" s="7">
        <v>1.82</v>
      </c>
      <c r="Q20" s="4">
        <f t="shared" si="10"/>
        <v>89.18</v>
      </c>
      <c r="R20" s="4">
        <f t="shared" si="8"/>
        <v>89.18</v>
      </c>
      <c r="S20" s="4">
        <f t="shared" si="9"/>
        <v>2229.5</v>
      </c>
    </row>
    <row r="21" spans="1:19" x14ac:dyDescent="0.2">
      <c r="A21" s="2">
        <v>19</v>
      </c>
      <c r="B21" s="2">
        <f t="shared" si="0"/>
        <v>78</v>
      </c>
      <c r="C21" s="2">
        <f t="shared" si="1"/>
        <v>96</v>
      </c>
      <c r="D21" s="2">
        <f t="shared" si="2"/>
        <v>2538</v>
      </c>
      <c r="E21" s="4">
        <f>B21*战力关系!$B$2+C21*战力关系!$B$3+D21*战力关系!$B$4</f>
        <v>1377.6</v>
      </c>
      <c r="H21" s="2">
        <v>19</v>
      </c>
      <c r="I21" s="6">
        <v>51</v>
      </c>
      <c r="J21" s="2">
        <f t="shared" si="3"/>
        <v>51</v>
      </c>
      <c r="K21" s="2">
        <f t="shared" si="4"/>
        <v>1275</v>
      </c>
      <c r="L21" s="11">
        <v>1.33</v>
      </c>
      <c r="M21" s="4">
        <f t="shared" si="5"/>
        <v>67.83</v>
      </c>
      <c r="N21" s="4">
        <f t="shared" si="6"/>
        <v>67.83</v>
      </c>
      <c r="O21" s="4">
        <f t="shared" si="7"/>
        <v>1695.75</v>
      </c>
      <c r="P21" s="7">
        <v>1.81</v>
      </c>
      <c r="Q21" s="4">
        <f t="shared" si="10"/>
        <v>92.31</v>
      </c>
      <c r="R21" s="4">
        <f t="shared" si="8"/>
        <v>92.31</v>
      </c>
      <c r="S21" s="4">
        <f t="shared" si="9"/>
        <v>2307.75</v>
      </c>
    </row>
    <row r="22" spans="1:19" x14ac:dyDescent="0.2">
      <c r="A22" s="2">
        <v>20</v>
      </c>
      <c r="B22" s="2">
        <f t="shared" si="0"/>
        <v>81</v>
      </c>
      <c r="C22" s="2">
        <f t="shared" si="1"/>
        <v>100</v>
      </c>
      <c r="D22" s="2">
        <f t="shared" si="2"/>
        <v>2638</v>
      </c>
      <c r="E22" s="4">
        <f>B22*战力关系!$B$2+C22*战力关系!$B$3+D22*战力关系!$B$4</f>
        <v>1432.6</v>
      </c>
      <c r="H22" s="2">
        <v>20</v>
      </c>
      <c r="I22" s="6">
        <v>53</v>
      </c>
      <c r="J22" s="2">
        <f t="shared" si="3"/>
        <v>53</v>
      </c>
      <c r="K22" s="2">
        <f t="shared" si="4"/>
        <v>1325</v>
      </c>
      <c r="L22" s="11">
        <v>1.33</v>
      </c>
      <c r="M22" s="4">
        <f t="shared" si="5"/>
        <v>70.490000000000009</v>
      </c>
      <c r="N22" s="4">
        <f t="shared" si="6"/>
        <v>70.490000000000009</v>
      </c>
      <c r="O22" s="4">
        <f t="shared" si="7"/>
        <v>1762.2500000000002</v>
      </c>
      <c r="P22" s="7">
        <v>1.81</v>
      </c>
      <c r="Q22" s="4">
        <f t="shared" si="10"/>
        <v>95.93</v>
      </c>
      <c r="R22" s="4">
        <f t="shared" si="8"/>
        <v>95.93</v>
      </c>
      <c r="S22" s="4">
        <f t="shared" si="9"/>
        <v>2398.25</v>
      </c>
    </row>
    <row r="23" spans="1:19" x14ac:dyDescent="0.2">
      <c r="A23" s="2">
        <v>21</v>
      </c>
      <c r="B23" s="2">
        <f t="shared" si="0"/>
        <v>86</v>
      </c>
      <c r="C23" s="2">
        <f t="shared" si="1"/>
        <v>106</v>
      </c>
      <c r="D23" s="2">
        <f t="shared" si="2"/>
        <v>2787</v>
      </c>
      <c r="E23" s="4">
        <f>B23*战力关系!$B$2+C23*战力关系!$B$3+D23*战力关系!$B$4</f>
        <v>1517.4</v>
      </c>
      <c r="H23" s="2">
        <v>21</v>
      </c>
      <c r="I23" s="6">
        <v>56</v>
      </c>
      <c r="J23" s="2">
        <f t="shared" si="3"/>
        <v>56</v>
      </c>
      <c r="K23" s="2">
        <f t="shared" si="4"/>
        <v>1400</v>
      </c>
      <c r="L23" s="11">
        <v>1.33</v>
      </c>
      <c r="M23" s="4">
        <f t="shared" si="5"/>
        <v>74.48</v>
      </c>
      <c r="N23" s="4">
        <f t="shared" si="6"/>
        <v>74.48</v>
      </c>
      <c r="O23" s="4">
        <f t="shared" si="7"/>
        <v>1862</v>
      </c>
      <c r="P23" s="7">
        <v>1.81</v>
      </c>
      <c r="Q23" s="4">
        <f t="shared" si="10"/>
        <v>101.36</v>
      </c>
      <c r="R23" s="4">
        <f t="shared" si="8"/>
        <v>101.36</v>
      </c>
      <c r="S23" s="4">
        <f t="shared" si="9"/>
        <v>2534</v>
      </c>
    </row>
    <row r="24" spans="1:19" x14ac:dyDescent="0.2">
      <c r="A24" s="2">
        <v>22</v>
      </c>
      <c r="B24" s="2">
        <f t="shared" si="0"/>
        <v>90</v>
      </c>
      <c r="C24" s="2">
        <f t="shared" si="1"/>
        <v>112</v>
      </c>
      <c r="D24" s="2">
        <f t="shared" si="2"/>
        <v>2936</v>
      </c>
      <c r="E24" s="4">
        <f>B24*战力关系!$B$2+C24*战力关系!$B$3+D24*战力关系!$B$4</f>
        <v>1597.2</v>
      </c>
      <c r="H24" s="2">
        <v>22</v>
      </c>
      <c r="I24" s="6">
        <v>59</v>
      </c>
      <c r="J24" s="2">
        <f t="shared" si="3"/>
        <v>59</v>
      </c>
      <c r="K24" s="2">
        <f t="shared" si="4"/>
        <v>1475</v>
      </c>
      <c r="L24" s="11">
        <v>1.33</v>
      </c>
      <c r="M24" s="4">
        <f t="shared" si="5"/>
        <v>78.47</v>
      </c>
      <c r="N24" s="4">
        <f t="shared" si="6"/>
        <v>78.47</v>
      </c>
      <c r="O24" s="4">
        <f t="shared" si="7"/>
        <v>1961.75</v>
      </c>
      <c r="P24" s="7">
        <v>1.81</v>
      </c>
      <c r="Q24" s="4">
        <f t="shared" si="10"/>
        <v>106.79</v>
      </c>
      <c r="R24" s="4">
        <f t="shared" si="8"/>
        <v>106.79</v>
      </c>
      <c r="S24" s="4">
        <f t="shared" si="9"/>
        <v>2669.75</v>
      </c>
    </row>
    <row r="25" spans="1:19" x14ac:dyDescent="0.2">
      <c r="A25" s="2">
        <v>23</v>
      </c>
      <c r="B25" s="2">
        <f t="shared" si="0"/>
        <v>94</v>
      </c>
      <c r="C25" s="2">
        <f t="shared" si="1"/>
        <v>117</v>
      </c>
      <c r="D25" s="2">
        <f t="shared" si="2"/>
        <v>3069</v>
      </c>
      <c r="E25" s="4">
        <f>B25*战力关系!$B$2+C25*战力关系!$B$3+D25*战力关系!$B$4</f>
        <v>1668.8000000000002</v>
      </c>
      <c r="H25" s="2">
        <v>23</v>
      </c>
      <c r="I25" s="6">
        <v>62</v>
      </c>
      <c r="J25" s="2">
        <f t="shared" si="3"/>
        <v>62</v>
      </c>
      <c r="K25" s="2">
        <f t="shared" si="4"/>
        <v>1550</v>
      </c>
      <c r="L25" s="11">
        <v>1.33</v>
      </c>
      <c r="M25" s="4">
        <f t="shared" si="5"/>
        <v>82.460000000000008</v>
      </c>
      <c r="N25" s="4">
        <f t="shared" si="6"/>
        <v>82.460000000000008</v>
      </c>
      <c r="O25" s="4">
        <f t="shared" si="7"/>
        <v>2061.5</v>
      </c>
      <c r="P25" s="7">
        <v>1.8</v>
      </c>
      <c r="Q25" s="4">
        <f t="shared" si="10"/>
        <v>111.60000000000001</v>
      </c>
      <c r="R25" s="4">
        <f t="shared" si="8"/>
        <v>111.60000000000001</v>
      </c>
      <c r="S25" s="4">
        <f t="shared" si="9"/>
        <v>2790</v>
      </c>
    </row>
    <row r="26" spans="1:19" x14ac:dyDescent="0.2">
      <c r="A26" s="2">
        <v>24</v>
      </c>
      <c r="B26" s="2">
        <f t="shared" si="0"/>
        <v>99</v>
      </c>
      <c r="C26" s="2">
        <f t="shared" si="1"/>
        <v>122</v>
      </c>
      <c r="D26" s="2">
        <f t="shared" si="2"/>
        <v>3217</v>
      </c>
      <c r="E26" s="4">
        <f>B26*战力关系!$B$2+C26*战力关系!$B$3+D26*战力关系!$B$4</f>
        <v>1748.4</v>
      </c>
      <c r="H26" s="2">
        <v>24</v>
      </c>
      <c r="I26" s="6">
        <v>65</v>
      </c>
      <c r="J26" s="2">
        <f t="shared" si="3"/>
        <v>65</v>
      </c>
      <c r="K26" s="2">
        <f t="shared" si="4"/>
        <v>1625</v>
      </c>
      <c r="L26" s="11">
        <v>1.33</v>
      </c>
      <c r="M26" s="4">
        <f t="shared" si="5"/>
        <v>86.45</v>
      </c>
      <c r="N26" s="4">
        <f t="shared" si="6"/>
        <v>86.45</v>
      </c>
      <c r="O26" s="4">
        <f t="shared" si="7"/>
        <v>2161.25</v>
      </c>
      <c r="P26" s="7">
        <v>1.8</v>
      </c>
      <c r="Q26" s="4">
        <f t="shared" si="10"/>
        <v>117</v>
      </c>
      <c r="R26" s="4">
        <f t="shared" si="8"/>
        <v>117</v>
      </c>
      <c r="S26" s="4">
        <f t="shared" si="9"/>
        <v>2925</v>
      </c>
    </row>
    <row r="27" spans="1:19" x14ac:dyDescent="0.2">
      <c r="A27" s="2">
        <v>25</v>
      </c>
      <c r="B27" s="2">
        <f t="shared" si="0"/>
        <v>104</v>
      </c>
      <c r="C27" s="2">
        <f t="shared" si="1"/>
        <v>128</v>
      </c>
      <c r="D27" s="2">
        <f t="shared" si="2"/>
        <v>3366</v>
      </c>
      <c r="E27" s="4">
        <f>B27*战力关系!$B$2+C27*战力关系!$B$3+D27*战力关系!$B$4</f>
        <v>1833.2</v>
      </c>
      <c r="H27" s="2">
        <v>25</v>
      </c>
      <c r="I27" s="6">
        <v>68</v>
      </c>
      <c r="J27" s="2">
        <f t="shared" si="3"/>
        <v>68</v>
      </c>
      <c r="K27" s="2">
        <f t="shared" si="4"/>
        <v>1700</v>
      </c>
      <c r="L27" s="11">
        <v>1.33</v>
      </c>
      <c r="M27" s="4">
        <f t="shared" si="5"/>
        <v>90.44</v>
      </c>
      <c r="N27" s="4">
        <f t="shared" si="6"/>
        <v>90.44</v>
      </c>
      <c r="O27" s="4">
        <f t="shared" si="7"/>
        <v>2261</v>
      </c>
      <c r="P27" s="7">
        <v>1.8</v>
      </c>
      <c r="Q27" s="4">
        <f t="shared" si="10"/>
        <v>122.4</v>
      </c>
      <c r="R27" s="4">
        <f t="shared" si="8"/>
        <v>122.4</v>
      </c>
      <c r="S27" s="4">
        <f t="shared" si="9"/>
        <v>3060</v>
      </c>
    </row>
    <row r="28" spans="1:19" x14ac:dyDescent="0.2">
      <c r="A28" s="2">
        <v>26</v>
      </c>
      <c r="B28" s="2">
        <f t="shared" si="0"/>
        <v>108</v>
      </c>
      <c r="C28" s="2">
        <f t="shared" si="1"/>
        <v>134</v>
      </c>
      <c r="D28" s="2">
        <f t="shared" si="2"/>
        <v>3514</v>
      </c>
      <c r="E28" s="4">
        <f>B28*战力关系!$B$2+C28*战力关系!$B$3+D28*战力关系!$B$4</f>
        <v>1912.8000000000002</v>
      </c>
      <c r="H28" s="2">
        <v>26</v>
      </c>
      <c r="I28" s="6">
        <v>71</v>
      </c>
      <c r="J28" s="2">
        <f t="shared" si="3"/>
        <v>71</v>
      </c>
      <c r="K28" s="2">
        <f t="shared" si="4"/>
        <v>1775</v>
      </c>
      <c r="L28" s="11">
        <v>1.33</v>
      </c>
      <c r="M28" s="4">
        <f t="shared" si="5"/>
        <v>94.43</v>
      </c>
      <c r="N28" s="4">
        <f t="shared" si="6"/>
        <v>94.43</v>
      </c>
      <c r="O28" s="4">
        <f t="shared" si="7"/>
        <v>2360.75</v>
      </c>
      <c r="P28" s="7">
        <v>1.8</v>
      </c>
      <c r="Q28" s="4">
        <f t="shared" si="10"/>
        <v>127.8</v>
      </c>
      <c r="R28" s="4">
        <f t="shared" si="8"/>
        <v>127.8</v>
      </c>
      <c r="S28" s="4">
        <f t="shared" si="9"/>
        <v>3195</v>
      </c>
    </row>
    <row r="29" spans="1:19" x14ac:dyDescent="0.2">
      <c r="A29" s="2">
        <v>27</v>
      </c>
      <c r="B29" s="2">
        <f t="shared" si="0"/>
        <v>113</v>
      </c>
      <c r="C29" s="2">
        <f t="shared" si="1"/>
        <v>139</v>
      </c>
      <c r="D29" s="2">
        <f t="shared" si="2"/>
        <v>3663</v>
      </c>
      <c r="E29" s="4">
        <f>B29*战力关系!$B$2+C29*战力关系!$B$3+D29*战力关系!$B$4</f>
        <v>1992.6</v>
      </c>
      <c r="H29" s="2">
        <v>27</v>
      </c>
      <c r="I29" s="6">
        <v>74</v>
      </c>
      <c r="J29" s="2">
        <f t="shared" si="3"/>
        <v>74</v>
      </c>
      <c r="K29" s="2">
        <f t="shared" si="4"/>
        <v>1850</v>
      </c>
      <c r="L29" s="11">
        <v>1.33</v>
      </c>
      <c r="M29" s="4">
        <f t="shared" si="5"/>
        <v>98.42</v>
      </c>
      <c r="N29" s="4">
        <f t="shared" si="6"/>
        <v>98.42</v>
      </c>
      <c r="O29" s="4">
        <f t="shared" si="7"/>
        <v>2460.5</v>
      </c>
      <c r="P29" s="7">
        <v>1.8</v>
      </c>
      <c r="Q29" s="4">
        <f t="shared" si="10"/>
        <v>133.20000000000002</v>
      </c>
      <c r="R29" s="4">
        <f t="shared" si="8"/>
        <v>133.20000000000002</v>
      </c>
      <c r="S29" s="4">
        <f t="shared" si="9"/>
        <v>3330.0000000000005</v>
      </c>
    </row>
    <row r="30" spans="1:19" x14ac:dyDescent="0.2">
      <c r="A30" s="2">
        <v>28</v>
      </c>
      <c r="B30" s="2">
        <f t="shared" si="0"/>
        <v>117</v>
      </c>
      <c r="C30" s="2">
        <f t="shared" si="1"/>
        <v>145</v>
      </c>
      <c r="D30" s="2">
        <f t="shared" si="2"/>
        <v>3811</v>
      </c>
      <c r="E30" s="4">
        <f>B30*战力关系!$B$2+C30*战力关系!$B$3+D30*战力关系!$B$4</f>
        <v>2072.1999999999998</v>
      </c>
      <c r="H30" s="2">
        <v>28</v>
      </c>
      <c r="I30" s="6">
        <v>77</v>
      </c>
      <c r="J30" s="2">
        <f t="shared" si="3"/>
        <v>77</v>
      </c>
      <c r="K30" s="2">
        <f t="shared" si="4"/>
        <v>1925</v>
      </c>
      <c r="L30" s="11">
        <v>1.33</v>
      </c>
      <c r="M30" s="4">
        <f t="shared" si="5"/>
        <v>102.41000000000001</v>
      </c>
      <c r="N30" s="4">
        <f t="shared" si="6"/>
        <v>102.41000000000001</v>
      </c>
      <c r="O30" s="4">
        <f t="shared" si="7"/>
        <v>2560.2500000000005</v>
      </c>
      <c r="P30" s="7">
        <v>1.8</v>
      </c>
      <c r="Q30" s="4">
        <f t="shared" si="10"/>
        <v>138.6</v>
      </c>
      <c r="R30" s="4">
        <f t="shared" si="8"/>
        <v>138.6</v>
      </c>
      <c r="S30" s="4">
        <f t="shared" si="9"/>
        <v>3465</v>
      </c>
    </row>
    <row r="31" spans="1:19" x14ac:dyDescent="0.2">
      <c r="A31" s="2">
        <v>29</v>
      </c>
      <c r="B31" s="2">
        <f t="shared" si="0"/>
        <v>122</v>
      </c>
      <c r="C31" s="2">
        <f t="shared" si="1"/>
        <v>151</v>
      </c>
      <c r="D31" s="2">
        <f t="shared" si="2"/>
        <v>3960</v>
      </c>
      <c r="E31" s="4">
        <f>B31*战力关系!$B$2+C31*战力关系!$B$3+D31*战力关系!$B$4</f>
        <v>2157</v>
      </c>
      <c r="H31" s="2">
        <v>29</v>
      </c>
      <c r="I31" s="6">
        <v>80</v>
      </c>
      <c r="J31" s="2">
        <f t="shared" si="3"/>
        <v>80</v>
      </c>
      <c r="K31" s="2">
        <f t="shared" si="4"/>
        <v>2000</v>
      </c>
      <c r="L31" s="11">
        <v>1.33</v>
      </c>
      <c r="M31" s="4">
        <f t="shared" si="5"/>
        <v>106.4</v>
      </c>
      <c r="N31" s="4">
        <f t="shared" si="6"/>
        <v>106.4</v>
      </c>
      <c r="O31" s="4">
        <f t="shared" si="7"/>
        <v>2660</v>
      </c>
      <c r="P31" s="7">
        <v>1.8</v>
      </c>
      <c r="Q31" s="4">
        <f t="shared" si="10"/>
        <v>144</v>
      </c>
      <c r="R31" s="4">
        <f t="shared" si="8"/>
        <v>144</v>
      </c>
      <c r="S31" s="4">
        <f t="shared" si="9"/>
        <v>3600</v>
      </c>
    </row>
    <row r="32" spans="1:19" x14ac:dyDescent="0.2">
      <c r="A32" s="2">
        <v>30</v>
      </c>
      <c r="B32" s="2">
        <f t="shared" si="0"/>
        <v>126</v>
      </c>
      <c r="C32" s="2">
        <f t="shared" si="1"/>
        <v>156</v>
      </c>
      <c r="D32" s="2">
        <f t="shared" si="2"/>
        <v>4108</v>
      </c>
      <c r="E32" s="4">
        <f>B32*战力关系!$B$2+C32*战力关系!$B$3+D32*战力关系!$B$4</f>
        <v>2231.6</v>
      </c>
      <c r="H32" s="2">
        <v>30</v>
      </c>
      <c r="I32" s="6">
        <v>83</v>
      </c>
      <c r="J32" s="2">
        <f t="shared" si="3"/>
        <v>83</v>
      </c>
      <c r="K32" s="2">
        <f t="shared" si="4"/>
        <v>2075</v>
      </c>
      <c r="L32" s="11">
        <v>1.33</v>
      </c>
      <c r="M32" s="4">
        <f t="shared" si="5"/>
        <v>110.39</v>
      </c>
      <c r="N32" s="4">
        <f t="shared" si="6"/>
        <v>110.39</v>
      </c>
      <c r="O32" s="4">
        <f t="shared" si="7"/>
        <v>2759.75</v>
      </c>
      <c r="P32" s="7">
        <v>1.8</v>
      </c>
      <c r="Q32" s="4">
        <f t="shared" si="10"/>
        <v>149.4</v>
      </c>
      <c r="R32" s="4">
        <f t="shared" si="8"/>
        <v>149.4</v>
      </c>
      <c r="S32" s="4">
        <f t="shared" si="9"/>
        <v>3735</v>
      </c>
    </row>
    <row r="33" spans="1:19" x14ac:dyDescent="0.2">
      <c r="A33" s="2">
        <v>31</v>
      </c>
      <c r="B33" s="2">
        <f t="shared" si="0"/>
        <v>131</v>
      </c>
      <c r="C33" s="2">
        <f t="shared" si="1"/>
        <v>162</v>
      </c>
      <c r="D33" s="2">
        <f t="shared" si="2"/>
        <v>4257</v>
      </c>
      <c r="E33" s="4">
        <f>B33*战力关系!$B$2+C33*战力关系!$B$3+D33*战力关系!$B$4</f>
        <v>2316.4</v>
      </c>
      <c r="H33" s="2">
        <v>31</v>
      </c>
      <c r="I33" s="6">
        <v>86</v>
      </c>
      <c r="J33" s="2">
        <f t="shared" si="3"/>
        <v>86</v>
      </c>
      <c r="K33" s="2">
        <f t="shared" si="4"/>
        <v>2150</v>
      </c>
      <c r="L33" s="11">
        <v>1.33</v>
      </c>
      <c r="M33" s="4">
        <f t="shared" si="5"/>
        <v>114.38000000000001</v>
      </c>
      <c r="N33" s="4">
        <f t="shared" si="6"/>
        <v>114.38000000000001</v>
      </c>
      <c r="O33" s="4">
        <f t="shared" si="7"/>
        <v>2859.5000000000005</v>
      </c>
      <c r="P33" s="7">
        <v>1.8</v>
      </c>
      <c r="Q33" s="4">
        <f t="shared" si="10"/>
        <v>154.80000000000001</v>
      </c>
      <c r="R33" s="4">
        <f t="shared" si="8"/>
        <v>154.80000000000001</v>
      </c>
      <c r="S33" s="4">
        <f t="shared" si="9"/>
        <v>3870.0000000000005</v>
      </c>
    </row>
    <row r="34" spans="1:19" x14ac:dyDescent="0.2">
      <c r="A34" s="2">
        <v>32</v>
      </c>
      <c r="B34" s="2">
        <f t="shared" si="0"/>
        <v>136</v>
      </c>
      <c r="C34" s="2">
        <f t="shared" si="1"/>
        <v>168</v>
      </c>
      <c r="D34" s="2">
        <f t="shared" si="2"/>
        <v>4405</v>
      </c>
      <c r="E34" s="4">
        <f>B34*战力关系!$B$2+C34*战力关系!$B$3+D34*战力关系!$B$4</f>
        <v>2401</v>
      </c>
      <c r="H34" s="2">
        <v>32</v>
      </c>
      <c r="I34" s="6">
        <v>89</v>
      </c>
      <c r="J34" s="2">
        <f t="shared" si="3"/>
        <v>89</v>
      </c>
      <c r="K34" s="2">
        <f t="shared" si="4"/>
        <v>2225</v>
      </c>
      <c r="L34" s="11">
        <v>1.33</v>
      </c>
      <c r="M34" s="4">
        <f t="shared" si="5"/>
        <v>118.37</v>
      </c>
      <c r="N34" s="4">
        <f t="shared" si="6"/>
        <v>118.37</v>
      </c>
      <c r="O34" s="4">
        <f t="shared" si="7"/>
        <v>2959.25</v>
      </c>
      <c r="P34" s="7">
        <v>1.8</v>
      </c>
      <c r="Q34" s="4">
        <f t="shared" si="10"/>
        <v>160.20000000000002</v>
      </c>
      <c r="R34" s="4">
        <f t="shared" si="8"/>
        <v>160.20000000000002</v>
      </c>
      <c r="S34" s="4">
        <f t="shared" si="9"/>
        <v>4005.0000000000005</v>
      </c>
    </row>
    <row r="35" spans="1:19" x14ac:dyDescent="0.2">
      <c r="A35" s="2">
        <v>33</v>
      </c>
      <c r="B35" s="2">
        <f t="shared" si="0"/>
        <v>140</v>
      </c>
      <c r="C35" s="2">
        <f t="shared" si="1"/>
        <v>173</v>
      </c>
      <c r="D35" s="2">
        <f t="shared" si="2"/>
        <v>4554</v>
      </c>
      <c r="E35" s="4">
        <f>B35*战力关系!$B$2+C35*战力关系!$B$3+D35*战力关系!$B$4</f>
        <v>2475.8000000000002</v>
      </c>
      <c r="H35" s="2">
        <v>33</v>
      </c>
      <c r="I35" s="6">
        <v>92</v>
      </c>
      <c r="J35" s="2">
        <f t="shared" si="3"/>
        <v>92</v>
      </c>
      <c r="K35" s="2">
        <f t="shared" si="4"/>
        <v>2300</v>
      </c>
      <c r="L35" s="11">
        <v>1.33</v>
      </c>
      <c r="M35" s="4">
        <f t="shared" si="5"/>
        <v>122.36000000000001</v>
      </c>
      <c r="N35" s="4">
        <f t="shared" si="6"/>
        <v>122.36000000000001</v>
      </c>
      <c r="O35" s="4">
        <f t="shared" si="7"/>
        <v>3059.0000000000005</v>
      </c>
      <c r="P35" s="7">
        <v>1.8</v>
      </c>
      <c r="Q35" s="4">
        <f t="shared" si="10"/>
        <v>165.6</v>
      </c>
      <c r="R35" s="4">
        <f t="shared" si="8"/>
        <v>165.6</v>
      </c>
      <c r="S35" s="4">
        <f t="shared" si="9"/>
        <v>4140</v>
      </c>
    </row>
    <row r="36" spans="1:19" x14ac:dyDescent="0.2">
      <c r="A36" s="2">
        <v>34</v>
      </c>
      <c r="B36" s="2">
        <f t="shared" si="0"/>
        <v>145</v>
      </c>
      <c r="C36" s="2">
        <f t="shared" si="1"/>
        <v>179</v>
      </c>
      <c r="D36" s="2">
        <f t="shared" si="2"/>
        <v>4702</v>
      </c>
      <c r="E36" s="4">
        <f>B36*战力关系!$B$2+C36*战力关系!$B$3+D36*战力关系!$B$4</f>
        <v>2560.4</v>
      </c>
      <c r="H36" s="2">
        <v>34</v>
      </c>
      <c r="I36" s="6">
        <v>95</v>
      </c>
      <c r="J36" s="2">
        <f t="shared" si="3"/>
        <v>95</v>
      </c>
      <c r="K36" s="2">
        <f t="shared" si="4"/>
        <v>2375</v>
      </c>
      <c r="L36" s="11">
        <v>1.33</v>
      </c>
      <c r="M36" s="4">
        <f t="shared" si="5"/>
        <v>126.35000000000001</v>
      </c>
      <c r="N36" s="4">
        <f t="shared" si="6"/>
        <v>126.35000000000001</v>
      </c>
      <c r="O36" s="4">
        <f t="shared" si="7"/>
        <v>3158.75</v>
      </c>
      <c r="P36" s="7">
        <v>1.8</v>
      </c>
      <c r="Q36" s="4">
        <f t="shared" si="10"/>
        <v>171</v>
      </c>
      <c r="R36" s="4">
        <f t="shared" si="8"/>
        <v>171</v>
      </c>
      <c r="S36" s="4">
        <f t="shared" si="9"/>
        <v>4275</v>
      </c>
    </row>
    <row r="37" spans="1:19" x14ac:dyDescent="0.2">
      <c r="A37" s="2">
        <v>35</v>
      </c>
      <c r="B37" s="2">
        <f t="shared" si="0"/>
        <v>149</v>
      </c>
      <c r="C37" s="2">
        <f t="shared" si="1"/>
        <v>185</v>
      </c>
      <c r="D37" s="2">
        <f t="shared" si="2"/>
        <v>4851</v>
      </c>
      <c r="E37" s="4">
        <f>B37*战力关系!$B$2+C37*战力关系!$B$3+D37*战力关系!$B$4</f>
        <v>2640.2</v>
      </c>
      <c r="H37" s="2">
        <v>35</v>
      </c>
      <c r="I37" s="6">
        <v>98</v>
      </c>
      <c r="J37" s="2">
        <f t="shared" si="3"/>
        <v>98</v>
      </c>
      <c r="K37" s="2">
        <f t="shared" si="4"/>
        <v>2450</v>
      </c>
      <c r="L37" s="11">
        <v>1.33</v>
      </c>
      <c r="M37" s="4">
        <f t="shared" si="5"/>
        <v>130.34</v>
      </c>
      <c r="N37" s="4">
        <f t="shared" si="6"/>
        <v>130.34</v>
      </c>
      <c r="O37" s="4">
        <f t="shared" si="7"/>
        <v>3258.5</v>
      </c>
      <c r="P37" s="7">
        <v>1.8</v>
      </c>
      <c r="Q37" s="4">
        <f t="shared" si="10"/>
        <v>176.4</v>
      </c>
      <c r="R37" s="4">
        <f t="shared" si="8"/>
        <v>176.4</v>
      </c>
      <c r="S37" s="4">
        <f t="shared" si="9"/>
        <v>4410</v>
      </c>
    </row>
    <row r="38" spans="1:19" x14ac:dyDescent="0.2">
      <c r="A38" s="2">
        <v>36</v>
      </c>
      <c r="B38" s="2">
        <f t="shared" si="0"/>
        <v>154</v>
      </c>
      <c r="C38" s="2">
        <f t="shared" si="1"/>
        <v>190</v>
      </c>
      <c r="D38" s="2">
        <f t="shared" si="2"/>
        <v>4999</v>
      </c>
      <c r="E38" s="4">
        <f>B38*战力关系!$B$2+C38*战力关系!$B$3+D38*战力关系!$B$4</f>
        <v>2719.8</v>
      </c>
      <c r="H38" s="2">
        <v>36</v>
      </c>
      <c r="I38" s="6">
        <v>101</v>
      </c>
      <c r="J38" s="2">
        <f t="shared" si="3"/>
        <v>101</v>
      </c>
      <c r="K38" s="2">
        <f t="shared" si="4"/>
        <v>2525</v>
      </c>
      <c r="L38" s="11">
        <v>1.33</v>
      </c>
      <c r="M38" s="4">
        <f t="shared" si="5"/>
        <v>134.33000000000001</v>
      </c>
      <c r="N38" s="4">
        <f t="shared" si="6"/>
        <v>134.33000000000001</v>
      </c>
      <c r="O38" s="4">
        <f t="shared" si="7"/>
        <v>3358.2500000000005</v>
      </c>
      <c r="P38" s="7">
        <v>1.8</v>
      </c>
      <c r="Q38" s="4">
        <f t="shared" si="10"/>
        <v>181.8</v>
      </c>
      <c r="R38" s="4">
        <f t="shared" si="8"/>
        <v>181.8</v>
      </c>
      <c r="S38" s="4">
        <f t="shared" si="9"/>
        <v>4545</v>
      </c>
    </row>
    <row r="39" spans="1:19" x14ac:dyDescent="0.2">
      <c r="A39" s="2">
        <v>37</v>
      </c>
      <c r="B39" s="2">
        <f t="shared" si="0"/>
        <v>159</v>
      </c>
      <c r="C39" s="2">
        <f t="shared" si="1"/>
        <v>196</v>
      </c>
      <c r="D39" s="2">
        <f t="shared" si="2"/>
        <v>5148</v>
      </c>
      <c r="E39" s="4">
        <f>B39*战力关系!$B$2+C39*战力关系!$B$3+D39*战力关系!$B$4</f>
        <v>2804.6000000000004</v>
      </c>
      <c r="H39" s="2">
        <v>37</v>
      </c>
      <c r="I39" s="6">
        <v>104</v>
      </c>
      <c r="J39" s="2">
        <f t="shared" si="3"/>
        <v>104</v>
      </c>
      <c r="K39" s="2">
        <f t="shared" si="4"/>
        <v>2600</v>
      </c>
      <c r="L39" s="11">
        <v>1.33</v>
      </c>
      <c r="M39" s="4">
        <f t="shared" si="5"/>
        <v>138.32</v>
      </c>
      <c r="N39" s="4">
        <f t="shared" si="6"/>
        <v>138.32</v>
      </c>
      <c r="O39" s="4">
        <f t="shared" si="7"/>
        <v>3458</v>
      </c>
      <c r="P39" s="7">
        <v>1.8</v>
      </c>
      <c r="Q39" s="4">
        <f t="shared" si="10"/>
        <v>187.20000000000002</v>
      </c>
      <c r="R39" s="4">
        <f t="shared" si="8"/>
        <v>187.20000000000002</v>
      </c>
      <c r="S39" s="4">
        <f t="shared" si="9"/>
        <v>4680</v>
      </c>
    </row>
    <row r="40" spans="1:19" x14ac:dyDescent="0.2">
      <c r="A40" s="2">
        <v>38</v>
      </c>
      <c r="B40" s="2">
        <f t="shared" si="0"/>
        <v>163</v>
      </c>
      <c r="C40" s="2">
        <f t="shared" si="1"/>
        <v>202</v>
      </c>
      <c r="D40" s="2">
        <f t="shared" si="2"/>
        <v>5296</v>
      </c>
      <c r="E40" s="4">
        <f>B40*战力关系!$B$2+C40*战力关系!$B$3+D40*战力关系!$B$4</f>
        <v>2884.2</v>
      </c>
      <c r="H40" s="2">
        <v>38</v>
      </c>
      <c r="I40" s="6">
        <v>107</v>
      </c>
      <c r="J40" s="2">
        <f t="shared" si="3"/>
        <v>107</v>
      </c>
      <c r="K40" s="2">
        <f t="shared" si="4"/>
        <v>2675</v>
      </c>
      <c r="L40" s="11">
        <v>1.33</v>
      </c>
      <c r="M40" s="4">
        <f t="shared" si="5"/>
        <v>142.31</v>
      </c>
      <c r="N40" s="4">
        <f t="shared" si="6"/>
        <v>142.31</v>
      </c>
      <c r="O40" s="4">
        <f t="shared" si="7"/>
        <v>3557.75</v>
      </c>
      <c r="P40" s="7">
        <v>1.8</v>
      </c>
      <c r="Q40" s="4">
        <f t="shared" si="10"/>
        <v>192.6</v>
      </c>
      <c r="R40" s="4">
        <f t="shared" si="8"/>
        <v>192.6</v>
      </c>
      <c r="S40" s="4">
        <f t="shared" si="9"/>
        <v>4815</v>
      </c>
    </row>
    <row r="41" spans="1:19" x14ac:dyDescent="0.2">
      <c r="A41" s="2">
        <v>39</v>
      </c>
      <c r="B41" s="2">
        <f t="shared" si="0"/>
        <v>168</v>
      </c>
      <c r="C41" s="2">
        <f t="shared" si="1"/>
        <v>207</v>
      </c>
      <c r="D41" s="2">
        <f t="shared" si="2"/>
        <v>5445</v>
      </c>
      <c r="E41" s="4">
        <f>B41*战力关系!$B$2+C41*战力关系!$B$3+D41*战力关系!$B$4</f>
        <v>2964</v>
      </c>
      <c r="H41" s="2">
        <v>39</v>
      </c>
      <c r="I41" s="6">
        <v>110</v>
      </c>
      <c r="J41" s="2">
        <f t="shared" si="3"/>
        <v>110</v>
      </c>
      <c r="K41" s="2">
        <f t="shared" si="4"/>
        <v>2750</v>
      </c>
      <c r="L41" s="11">
        <v>1.33</v>
      </c>
      <c r="M41" s="4">
        <f t="shared" si="5"/>
        <v>146.30000000000001</v>
      </c>
      <c r="N41" s="4">
        <f t="shared" si="6"/>
        <v>146.30000000000001</v>
      </c>
      <c r="O41" s="4">
        <f t="shared" si="7"/>
        <v>3657.5000000000005</v>
      </c>
      <c r="P41" s="7">
        <v>1.8</v>
      </c>
      <c r="Q41" s="4">
        <f t="shared" si="10"/>
        <v>198</v>
      </c>
      <c r="R41" s="4">
        <f t="shared" si="8"/>
        <v>198</v>
      </c>
      <c r="S41" s="4">
        <f t="shared" si="9"/>
        <v>4950</v>
      </c>
    </row>
    <row r="42" spans="1:19" x14ac:dyDescent="0.2">
      <c r="A42" s="2">
        <v>40</v>
      </c>
      <c r="B42" s="2">
        <f t="shared" si="0"/>
        <v>172</v>
      </c>
      <c r="C42" s="2">
        <f t="shared" si="1"/>
        <v>213</v>
      </c>
      <c r="D42" s="2">
        <f t="shared" si="2"/>
        <v>5593</v>
      </c>
      <c r="E42" s="4">
        <f>B42*战力关系!$B$2+C42*战力关系!$B$3+D42*战力关系!$B$4</f>
        <v>3043.6000000000004</v>
      </c>
      <c r="H42" s="2">
        <v>40</v>
      </c>
      <c r="I42" s="6">
        <v>113</v>
      </c>
      <c r="J42" s="2">
        <f t="shared" si="3"/>
        <v>113</v>
      </c>
      <c r="K42" s="2">
        <f t="shared" si="4"/>
        <v>2825</v>
      </c>
      <c r="L42" s="11">
        <v>1.33</v>
      </c>
      <c r="M42" s="4">
        <f t="shared" si="5"/>
        <v>150.29000000000002</v>
      </c>
      <c r="N42" s="4">
        <f t="shared" si="6"/>
        <v>150.29000000000002</v>
      </c>
      <c r="O42" s="4">
        <f t="shared" si="7"/>
        <v>3757.2500000000005</v>
      </c>
      <c r="P42" s="7">
        <v>1.8</v>
      </c>
      <c r="Q42" s="4">
        <f t="shared" si="10"/>
        <v>203.4</v>
      </c>
      <c r="R42" s="4">
        <f t="shared" si="8"/>
        <v>203.4</v>
      </c>
      <c r="S42" s="4">
        <f t="shared" si="9"/>
        <v>5085</v>
      </c>
    </row>
    <row r="45" spans="1:19" x14ac:dyDescent="0.2">
      <c r="A45" s="30" t="s">
        <v>38</v>
      </c>
      <c r="B45" s="30" t="s">
        <v>42</v>
      </c>
      <c r="C45" s="30" t="s">
        <v>39</v>
      </c>
      <c r="D45" s="30" t="s">
        <v>40</v>
      </c>
      <c r="E45" s="30" t="s">
        <v>41</v>
      </c>
      <c r="F45" s="30" t="s">
        <v>84</v>
      </c>
    </row>
    <row r="46" spans="1:19" x14ac:dyDescent="0.2">
      <c r="A46" s="24" t="s">
        <v>48</v>
      </c>
      <c r="B46" s="6">
        <v>1</v>
      </c>
      <c r="C46" s="6">
        <v>1.1000000000000001</v>
      </c>
      <c r="D46" s="6">
        <v>1</v>
      </c>
      <c r="E46" s="6">
        <v>0.9</v>
      </c>
      <c r="F46" s="2">
        <f>SUM(C46:E46)</f>
        <v>3</v>
      </c>
    </row>
    <row r="47" spans="1:19" x14ac:dyDescent="0.2">
      <c r="A47" s="24" t="s">
        <v>43</v>
      </c>
      <c r="B47" s="6">
        <v>1</v>
      </c>
      <c r="C47" s="6">
        <v>0.75</v>
      </c>
      <c r="D47" s="6">
        <v>1.1000000000000001</v>
      </c>
      <c r="E47" s="6">
        <v>1.1499999999999999</v>
      </c>
      <c r="F47" s="2">
        <f t="shared" ref="F47:F60" si="11">SUM(C47:E47)</f>
        <v>3</v>
      </c>
    </row>
    <row r="48" spans="1:19" x14ac:dyDescent="0.2">
      <c r="A48" s="24" t="s">
        <v>49</v>
      </c>
      <c r="B48" s="6">
        <v>1</v>
      </c>
      <c r="C48" s="6">
        <v>1.1000000000000001</v>
      </c>
      <c r="D48" s="6">
        <v>0.95</v>
      </c>
      <c r="E48" s="6">
        <v>0.95</v>
      </c>
      <c r="F48" s="2">
        <f t="shared" si="11"/>
        <v>3</v>
      </c>
    </row>
    <row r="49" spans="1:6" x14ac:dyDescent="0.2">
      <c r="A49" s="24" t="s">
        <v>75</v>
      </c>
      <c r="B49" s="6">
        <v>1</v>
      </c>
      <c r="C49" s="6">
        <v>1</v>
      </c>
      <c r="D49" s="6">
        <v>1</v>
      </c>
      <c r="E49" s="6">
        <v>1</v>
      </c>
      <c r="F49" s="2">
        <f t="shared" si="11"/>
        <v>3</v>
      </c>
    </row>
    <row r="50" spans="1:6" x14ac:dyDescent="0.2">
      <c r="A50" s="25" t="s">
        <v>44</v>
      </c>
      <c r="B50" s="6">
        <v>2</v>
      </c>
      <c r="C50" s="6">
        <v>0.85</v>
      </c>
      <c r="D50" s="6">
        <v>1.05</v>
      </c>
      <c r="E50" s="6">
        <v>1.1000000000000001</v>
      </c>
      <c r="F50" s="2">
        <f t="shared" si="11"/>
        <v>3</v>
      </c>
    </row>
    <row r="51" spans="1:6" x14ac:dyDescent="0.2">
      <c r="A51" s="25" t="s">
        <v>76</v>
      </c>
      <c r="B51" s="6">
        <v>2</v>
      </c>
      <c r="C51" s="6">
        <v>1</v>
      </c>
      <c r="D51" s="6">
        <v>1</v>
      </c>
      <c r="E51" s="6">
        <v>1</v>
      </c>
      <c r="F51" s="2">
        <f t="shared" si="11"/>
        <v>3</v>
      </c>
    </row>
    <row r="52" spans="1:6" x14ac:dyDescent="0.2">
      <c r="A52" s="25" t="s">
        <v>77</v>
      </c>
      <c r="B52" s="6">
        <v>2</v>
      </c>
      <c r="C52" s="6">
        <v>0.75</v>
      </c>
      <c r="D52" s="6">
        <v>1.1000000000000001</v>
      </c>
      <c r="E52" s="6">
        <v>1.1499999999999999</v>
      </c>
      <c r="F52" s="2">
        <f t="shared" si="11"/>
        <v>3</v>
      </c>
    </row>
    <row r="53" spans="1:6" x14ac:dyDescent="0.2">
      <c r="A53" s="25" t="s">
        <v>83</v>
      </c>
      <c r="B53" s="6">
        <v>2</v>
      </c>
      <c r="C53" s="6">
        <v>1.05</v>
      </c>
      <c r="D53" s="6">
        <v>0.95</v>
      </c>
      <c r="E53" s="6">
        <v>1</v>
      </c>
      <c r="F53" s="2">
        <f t="shared" si="11"/>
        <v>3</v>
      </c>
    </row>
    <row r="54" spans="1:6" x14ac:dyDescent="0.2">
      <c r="A54" s="29" t="s">
        <v>78</v>
      </c>
      <c r="B54" s="6">
        <v>3</v>
      </c>
      <c r="C54" s="6">
        <v>1.1000000000000001</v>
      </c>
      <c r="D54" s="6">
        <v>0.9</v>
      </c>
      <c r="E54" s="6">
        <v>1</v>
      </c>
      <c r="F54" s="2">
        <f t="shared" si="11"/>
        <v>3</v>
      </c>
    </row>
    <row r="55" spans="1:6" x14ac:dyDescent="0.2">
      <c r="A55" s="29" t="s">
        <v>79</v>
      </c>
      <c r="B55" s="6">
        <v>3</v>
      </c>
      <c r="C55" s="2">
        <v>1.2</v>
      </c>
      <c r="D55" s="2">
        <v>0.9</v>
      </c>
      <c r="E55" s="2">
        <v>0.9</v>
      </c>
      <c r="F55" s="2">
        <f t="shared" si="11"/>
        <v>3</v>
      </c>
    </row>
    <row r="56" spans="1:6" x14ac:dyDescent="0.2">
      <c r="A56" s="29" t="s">
        <v>80</v>
      </c>
      <c r="B56" s="6">
        <v>3</v>
      </c>
      <c r="C56" s="2">
        <v>1</v>
      </c>
      <c r="D56" s="2">
        <v>1</v>
      </c>
      <c r="E56" s="2">
        <v>1</v>
      </c>
      <c r="F56" s="2">
        <f t="shared" si="11"/>
        <v>3</v>
      </c>
    </row>
    <row r="57" spans="1:6" x14ac:dyDescent="0.2">
      <c r="A57" s="29" t="s">
        <v>81</v>
      </c>
      <c r="B57" s="6">
        <v>3</v>
      </c>
      <c r="C57" s="2">
        <v>1.1000000000000001</v>
      </c>
      <c r="D57" s="2">
        <v>0.95</v>
      </c>
      <c r="E57" s="2">
        <v>0.95</v>
      </c>
      <c r="F57" s="2">
        <f t="shared" si="11"/>
        <v>3</v>
      </c>
    </row>
    <row r="58" spans="1:6" x14ac:dyDescent="0.2">
      <c r="A58" s="29" t="s">
        <v>82</v>
      </c>
      <c r="B58" s="6">
        <v>3</v>
      </c>
      <c r="C58" s="2">
        <v>1.1499999999999999</v>
      </c>
      <c r="D58" s="2">
        <v>0.9</v>
      </c>
      <c r="E58" s="2">
        <v>0.95</v>
      </c>
      <c r="F58" s="2">
        <f t="shared" si="11"/>
        <v>3</v>
      </c>
    </row>
    <row r="59" spans="1:6" x14ac:dyDescent="0.2">
      <c r="A59" s="29" t="s">
        <v>83</v>
      </c>
      <c r="B59" s="6">
        <v>3</v>
      </c>
      <c r="C59" s="2">
        <v>1</v>
      </c>
      <c r="D59" s="2">
        <v>1</v>
      </c>
      <c r="E59" s="2">
        <v>1</v>
      </c>
      <c r="F59" s="2">
        <f t="shared" si="11"/>
        <v>3</v>
      </c>
    </row>
    <row r="60" spans="1:6" x14ac:dyDescent="0.2">
      <c r="A60" s="29" t="s">
        <v>86</v>
      </c>
      <c r="B60" s="6">
        <v>3</v>
      </c>
      <c r="C60" s="2">
        <v>0.85</v>
      </c>
      <c r="D60" s="2">
        <v>1.05</v>
      </c>
      <c r="E60" s="2">
        <v>1.1000000000000001</v>
      </c>
      <c r="F60" s="2">
        <f t="shared" si="11"/>
        <v>3</v>
      </c>
    </row>
  </sheetData>
  <mergeCells count="3">
    <mergeCell ref="L1:O1"/>
    <mergeCell ref="P1:S1"/>
    <mergeCell ref="H1:K1"/>
  </mergeCells>
  <phoneticPr fontId="1" type="noConversion"/>
  <dataValidations count="1">
    <dataValidation type="list" allowBlank="1" showInputMessage="1" showErrorMessage="1" sqref="B1" xr:uid="{FCB5491D-7FAD-4657-8FDE-01C449D45267}">
      <formula1>$A$46:$A$60</formula1>
    </dataValidation>
  </dataValidations>
  <pageMargins left="0.7" right="0.7" top="0.75" bottom="0.75" header="0.3" footer="0.3"/>
  <pageSetup paperSize="9" orientation="portrait" horizontalDpi="4294967294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D A A B Q S w M E F A A C A A g A 7 R v 7 V h z x q 8 e k A A A A 9 g A A A B I A H A B D b 2 5 m a W c v U G F j a 2 F n Z S 5 4 b W w g o h g A K K A U A A A A A A A A A A A A A A A A A A A A A A A A A A A A h Y + 9 D o I w G E V f h X S n f y 6 E f N S B V Y y J i X F t S o V G K I Y W S 3 w 1 B x / J V x C j q J v j P f c M 9 9 6 v N 1 i O b R O d d e 9 M Z z P E M E W R t q o r j a 0 y N P h D n K C l g I 1 U R 1 n p a J K t S 0 d X Z q j 2 / p Q S E k L A Y Y G 7 v i K c U k b 2 x W q r a t 1 K 9 J H N f z k 2 1 n l p l U Y C d q 8 x g m P G E s w p x x T I D K E w 9 i v w a e + z / Y G Q D 4 0 f e i 0 u d Z y v g c w R y P u D e A B Q S w M E F A A C A A g A 7 R v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0 b + 1 b y T y c B q w A A A M s A A A A T A B w A R m 9 y b X V s Y X M v U 2 V j d G l v b j E u b S C i G A A o o B Q A A A A A A A A A A A A A A A A A A A A A A A A A A A A r T k 0 u y c z P U w i G 0 I b W v F y 8 X M U Z i U W p K Q o v F q 4 w V L B V y E k t 4 e V S A I J n u y Y A u a 4 V y a k 5 e s 6 l R U W p e S X h + U X Z S f n 5 2 R q a 1 d F + i b m p t k o g T U q x t d H O + X k l Q A W x O l C 9 s 7 c 8 m 7 L z + a y W 5 x t 3 P 5 3 X D T Q n J D E p J 1 U v p C g x r z g t v y j X O T + n N D c v p L I g t V g D a J F O d b X S s 7 k b n v f N V t J R K A G K K p S k V p T U 1 m r y c m X m Y T X S G g B Q S w E C L Q A U A A I A C A D t G / t W H P G r x 6 Q A A A D 2 A A A A E g A A A A A A A A A A A A A A A A A A A A A A Q 2 9 u Z m l n L 1 B h Y 2 t h Z 2 U u e G 1 s U E s B A i 0 A F A A C A A g A 7 R v 7 V g / K 6 a u k A A A A 6 Q A A A B M A A A A A A A A A A A A A A A A A 8 A A A A F t D b 2 5 0 Z W 5 0 X 1 R 5 c G V z X S 5 4 b W x Q S w E C L Q A U A A I A C A D t G / t W 8 k 8 n A a s A A A D L A A A A E w A A A A A A A A A A A A A A A A D h A Q A A R m 9 y b X V s Y X M v U 2 V j d G l v b j E u b V B L B Q Y A A A A A A w A D A M I A A A D Z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B w A A A A A A A M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k 6 M z E 6 M T A u M T k y N j E 3 N l o i I C 8 + P E V u d H J 5 I F R 5 c G U 9 I k Z p b G x D b 2 x 1 b W 5 U e X B l c y I g V m F s d W U 9 I n N C Z z 0 9 I i A v P j x F b n R y e S B U e X B l P S J G a W x s Q 2 9 s d W 1 u T m F t Z X M i I F Z h b H V l P S J z W y Z x d W 9 0 O + a d s O e O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v Q X V 0 b 1 J l b W 9 2 Z W R D b 2 x 1 b W 5 z M S 5 7 5 p 2 w 5 4 6 b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D E v Q X V 0 b 1 J l b W 9 2 Z W R D b 2 x 1 b W 5 z M S 5 7 5 p 2 w 5 4 6 b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I G 1 L N F j + l L u T z Y Q R / V c u M A A A A A A g A A A A A A E G Y A A A A B A A A g A A A A p a U Z F 8 0 6 r K K y b P Y K p f h l w m l 6 i 0 H L f n b c Z h E N 0 S B h M u o A A A A A D o A A A A A C A A A g A A A A r 2 f A T 1 O D N A B U D B A 0 u A K y K R l 8 3 u N k O 8 M g V X k w a z L X K I 9 Q A A A A 6 V v o G N X I 7 S K s n 4 H / m X y 8 6 N N q l o 1 a g L q E d u A 4 Q j w g r f 2 e D D r j 8 c t C i v p c 9 i N 3 E 3 V + G U w z c P / e K B e G + + Y h m H E S R r 0 c 6 a c f A j l v R 9 5 y B i Z h n Y 9 A A A A A p k E I 9 W v i R U 2 9 E z O f S 6 M H q a Q I O g e W y 5 o C I t k Q p x n B g 2 G A s P F 6 q D v / P h + i J Y c z J a e Y i s f q F D 0 Q N o V B k y z z Q a m t H A = = < / D a t a M a s h u p > 
</file>

<file path=customXml/itemProps1.xml><?xml version="1.0" encoding="utf-8"?>
<ds:datastoreItem xmlns:ds="http://schemas.openxmlformats.org/officeDocument/2006/customXml" ds:itemID="{F4DE12DF-7FBB-47E2-B133-598866C4CB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养成体验解锁节奏</vt:lpstr>
      <vt:lpstr>养成进度-按时间</vt:lpstr>
      <vt:lpstr>第一队强度测算</vt:lpstr>
      <vt:lpstr>英雄数值模型-英雄等级</vt:lpstr>
      <vt:lpstr>战力关系</vt:lpstr>
      <vt:lpstr>英雄数值模型-天</vt:lpstr>
      <vt:lpstr>战宠数值模型-等级</vt:lpstr>
      <vt:lpstr>战宠数值模型-天</vt:lpstr>
      <vt:lpstr>英雄升级数值</vt:lpstr>
      <vt:lpstr>英雄升星数值</vt:lpstr>
      <vt:lpstr>英雄装备数值</vt:lpstr>
      <vt:lpstr>装备强化数值</vt:lpstr>
      <vt:lpstr>宠物升级数值-标准单只</vt:lpstr>
      <vt:lpstr>宠物升阶数值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2023-08-03T02:20:12Z</dcterms:modified>
</cp:coreProperties>
</file>