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70226_LapLength\"/>
    </mc:Choice>
  </mc:AlternateContent>
  <xr:revisionPtr revIDLastSave="0" documentId="13_ncr:1_{4280601A-8B5D-4C9A-B0B2-21B4CC11DE37}" xr6:coauthVersionLast="34" xr6:coauthVersionMax="34" xr10:uidLastSave="{00000000-0000-0000-0000-000000000000}"/>
  <bookViews>
    <workbookView xWindow="600" yWindow="45" windowWidth="19395" windowHeight="7830" activeTab="2" xr2:uid="{00000000-000D-0000-FFFF-FFFF00000000}"/>
  </bookViews>
  <sheets>
    <sheet name="牆筋發展長度計算表(不考慮搭接影響)" sheetId="1" r:id="rId1"/>
    <sheet name="算例-版與一般牆-2s" sheetId="7" r:id="rId2"/>
    <sheet name="牆筋發展長度計算表(考慮搭接影響)" sheetId="6" r:id="rId3"/>
    <sheet name="算例-版與一般牆-2st" sheetId="8" r:id="rId4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5" i="8" l="1"/>
  <c r="R32" i="8"/>
  <c r="R30" i="8"/>
  <c r="J9" i="8"/>
  <c r="R29" i="8"/>
  <c r="R15" i="8"/>
  <c r="Q32" i="8"/>
  <c r="B1" i="8"/>
  <c r="E9" i="8"/>
  <c r="R46" i="8"/>
  <c r="J9" i="7"/>
  <c r="R15" i="7"/>
  <c r="E9" i="7"/>
  <c r="B1" i="7"/>
  <c r="R38" i="7"/>
  <c r="R16" i="7"/>
  <c r="R17" i="7"/>
  <c r="R27" i="7"/>
  <c r="R40" i="7"/>
  <c r="R16" i="8"/>
  <c r="W36" i="6"/>
  <c r="V36" i="6"/>
  <c r="U36" i="6"/>
  <c r="T36" i="6"/>
  <c r="S36" i="6"/>
  <c r="R36" i="6"/>
  <c r="Q36" i="6"/>
  <c r="W35" i="6"/>
  <c r="V35" i="6"/>
  <c r="U35" i="6"/>
  <c r="T35" i="6"/>
  <c r="S35" i="6"/>
  <c r="R35" i="6"/>
  <c r="Q35" i="6"/>
  <c r="W34" i="6"/>
  <c r="V34" i="6"/>
  <c r="U34" i="6"/>
  <c r="T34" i="6"/>
  <c r="S34" i="6"/>
  <c r="R34" i="6"/>
  <c r="Q34" i="6"/>
  <c r="W33" i="6"/>
  <c r="V33" i="6"/>
  <c r="U33" i="6"/>
  <c r="T33" i="6"/>
  <c r="S33" i="6"/>
  <c r="R33" i="6"/>
  <c r="Q33" i="6"/>
  <c r="W32" i="6"/>
  <c r="V32" i="6"/>
  <c r="U32" i="6"/>
  <c r="T32" i="6"/>
  <c r="S32" i="6"/>
  <c r="R32" i="6"/>
  <c r="Q32" i="6"/>
  <c r="W31" i="6"/>
  <c r="V31" i="6"/>
  <c r="U31" i="6"/>
  <c r="T31" i="6"/>
  <c r="S31" i="6"/>
  <c r="R31" i="6"/>
  <c r="Q31" i="6"/>
  <c r="W30" i="6"/>
  <c r="V30" i="6"/>
  <c r="U30" i="6"/>
  <c r="T30" i="6"/>
  <c r="S30" i="6"/>
  <c r="R30" i="6"/>
  <c r="Q30" i="6"/>
  <c r="W29" i="6"/>
  <c r="V29" i="6"/>
  <c r="U29" i="6"/>
  <c r="T29" i="6"/>
  <c r="S29" i="6"/>
  <c r="R29" i="6"/>
  <c r="Q29" i="6"/>
  <c r="W28" i="6"/>
  <c r="V28" i="6"/>
  <c r="U28" i="6"/>
  <c r="T28" i="6"/>
  <c r="S28" i="6"/>
  <c r="R28" i="6"/>
  <c r="Q28" i="6"/>
  <c r="W27" i="6"/>
  <c r="V27" i="6"/>
  <c r="U27" i="6"/>
  <c r="T27" i="6"/>
  <c r="S27" i="6"/>
  <c r="R27" i="6"/>
  <c r="Q27" i="6"/>
  <c r="W26" i="6"/>
  <c r="V26" i="6"/>
  <c r="U26" i="6"/>
  <c r="T26" i="6"/>
  <c r="S26" i="6"/>
  <c r="R26" i="6"/>
  <c r="Q26" i="6"/>
  <c r="W25" i="6"/>
  <c r="V25" i="6"/>
  <c r="U25" i="6"/>
  <c r="T25" i="6"/>
  <c r="S25" i="6"/>
  <c r="R25" i="6"/>
  <c r="Q25" i="6"/>
  <c r="W24" i="6"/>
  <c r="V24" i="6"/>
  <c r="U24" i="6"/>
  <c r="T24" i="6"/>
  <c r="S24" i="6"/>
  <c r="R24" i="6"/>
  <c r="Q24" i="6"/>
  <c r="W23" i="6"/>
  <c r="V23" i="6"/>
  <c r="U23" i="6"/>
  <c r="T23" i="6"/>
  <c r="S23" i="6"/>
  <c r="R23" i="6"/>
  <c r="Q23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K36" i="6"/>
  <c r="W17" i="6"/>
  <c r="J36" i="6"/>
  <c r="V17" i="6"/>
  <c r="I36" i="6"/>
  <c r="U17" i="6"/>
  <c r="H36" i="6"/>
  <c r="T17" i="6"/>
  <c r="G36" i="6"/>
  <c r="S17" i="6"/>
  <c r="F36" i="6"/>
  <c r="R17" i="6"/>
  <c r="E36" i="6"/>
  <c r="Q17" i="6"/>
  <c r="K35" i="6"/>
  <c r="W16" i="6"/>
  <c r="J35" i="6"/>
  <c r="V16" i="6"/>
  <c r="I35" i="6"/>
  <c r="U16" i="6"/>
  <c r="H35" i="6"/>
  <c r="T16" i="6"/>
  <c r="G35" i="6"/>
  <c r="S16" i="6"/>
  <c r="F35" i="6"/>
  <c r="E35" i="6"/>
  <c r="Q16" i="6"/>
  <c r="K34" i="6"/>
  <c r="W15" i="6"/>
  <c r="J34" i="6"/>
  <c r="V15" i="6"/>
  <c r="I34" i="6"/>
  <c r="U15" i="6"/>
  <c r="H34" i="6"/>
  <c r="T15" i="6"/>
  <c r="G34" i="6"/>
  <c r="S15" i="6"/>
  <c r="F34" i="6"/>
  <c r="R15" i="6"/>
  <c r="E34" i="6"/>
  <c r="Q15" i="6"/>
  <c r="K33" i="6"/>
  <c r="W14" i="6"/>
  <c r="J33" i="6"/>
  <c r="V14" i="6"/>
  <c r="I33" i="6"/>
  <c r="U14" i="6"/>
  <c r="H33" i="6"/>
  <c r="G33" i="6"/>
  <c r="S14" i="6"/>
  <c r="F33" i="6"/>
  <c r="R14" i="6"/>
  <c r="E33" i="6"/>
  <c r="Q14" i="6"/>
  <c r="K32" i="6"/>
  <c r="W13" i="6"/>
  <c r="J32" i="6"/>
  <c r="V13" i="6"/>
  <c r="I32" i="6"/>
  <c r="U13" i="6"/>
  <c r="H32" i="6"/>
  <c r="T13" i="6"/>
  <c r="G32" i="6"/>
  <c r="S13" i="6"/>
  <c r="F32" i="6"/>
  <c r="R13" i="6"/>
  <c r="E32" i="6"/>
  <c r="Q13" i="6"/>
  <c r="K31" i="6"/>
  <c r="W12" i="6"/>
  <c r="J31" i="6"/>
  <c r="V12" i="6"/>
  <c r="I31" i="6"/>
  <c r="U12" i="6"/>
  <c r="H31" i="6"/>
  <c r="T12" i="6"/>
  <c r="G31" i="6"/>
  <c r="S12" i="6"/>
  <c r="F31" i="6"/>
  <c r="E31" i="6"/>
  <c r="K30" i="6"/>
  <c r="W11" i="6"/>
  <c r="J30" i="6"/>
  <c r="V11" i="6"/>
  <c r="I30" i="6"/>
  <c r="U11" i="6"/>
  <c r="H30" i="6"/>
  <c r="G30" i="6"/>
  <c r="S11" i="6"/>
  <c r="F30" i="6"/>
  <c r="R11" i="6"/>
  <c r="E30" i="6"/>
  <c r="Q11" i="6"/>
  <c r="K29" i="6"/>
  <c r="W10" i="6"/>
  <c r="J29" i="6"/>
  <c r="V10" i="6"/>
  <c r="I29" i="6"/>
  <c r="U10" i="6"/>
  <c r="H29" i="6"/>
  <c r="T10" i="6"/>
  <c r="G29" i="6"/>
  <c r="S10" i="6"/>
  <c r="F29" i="6"/>
  <c r="R10" i="6"/>
  <c r="E29" i="6"/>
  <c r="Q10" i="6"/>
  <c r="K28" i="6"/>
  <c r="W9" i="6"/>
  <c r="J28" i="6"/>
  <c r="V9" i="6"/>
  <c r="I28" i="6"/>
  <c r="U9" i="6"/>
  <c r="H28" i="6"/>
  <c r="T9" i="6"/>
  <c r="G28" i="6"/>
  <c r="S9" i="6"/>
  <c r="F28" i="6"/>
  <c r="R9" i="6"/>
  <c r="E28" i="6"/>
  <c r="Q9" i="6"/>
  <c r="K27" i="6"/>
  <c r="W8" i="6"/>
  <c r="J27" i="6"/>
  <c r="V8" i="6"/>
  <c r="I27" i="6"/>
  <c r="U8" i="6"/>
  <c r="H27" i="6"/>
  <c r="T8" i="6"/>
  <c r="G27" i="6"/>
  <c r="F27" i="6"/>
  <c r="R8" i="6"/>
  <c r="E27" i="6"/>
  <c r="Q8" i="6"/>
  <c r="K26" i="6"/>
  <c r="W7" i="6"/>
  <c r="J26" i="6"/>
  <c r="V7" i="6"/>
  <c r="I26" i="6"/>
  <c r="U7" i="6"/>
  <c r="H26" i="6"/>
  <c r="T7" i="6"/>
  <c r="G26" i="6"/>
  <c r="S7" i="6"/>
  <c r="F26" i="6"/>
  <c r="R7" i="6"/>
  <c r="E26" i="6"/>
  <c r="Q7" i="6"/>
  <c r="K25" i="6"/>
  <c r="W6" i="6"/>
  <c r="J25" i="6"/>
  <c r="V6" i="6"/>
  <c r="I25" i="6"/>
  <c r="U6" i="6"/>
  <c r="H25" i="6"/>
  <c r="T6" i="6"/>
  <c r="G25" i="6"/>
  <c r="S6" i="6"/>
  <c r="F25" i="6"/>
  <c r="R6" i="6"/>
  <c r="E25" i="6"/>
  <c r="Q6" i="6"/>
  <c r="K24" i="6"/>
  <c r="W5" i="6"/>
  <c r="J24" i="6"/>
  <c r="V5" i="6"/>
  <c r="I24" i="6"/>
  <c r="U5" i="6"/>
  <c r="H24" i="6"/>
  <c r="G24" i="6"/>
  <c r="S5" i="6"/>
  <c r="F24" i="6"/>
  <c r="R5" i="6"/>
  <c r="E24" i="6"/>
  <c r="Q5" i="6"/>
  <c r="K23" i="6"/>
  <c r="W4" i="6"/>
  <c r="J23" i="6"/>
  <c r="I23" i="6"/>
  <c r="H23" i="6"/>
  <c r="T4" i="6"/>
  <c r="G23" i="6"/>
  <c r="S4" i="6"/>
  <c r="F23" i="6"/>
  <c r="R4" i="6"/>
  <c r="E23" i="6"/>
  <c r="Q4" i="6"/>
  <c r="D36" i="6"/>
  <c r="P17" i="6"/>
  <c r="D35" i="6"/>
  <c r="P16" i="6"/>
  <c r="D34" i="6"/>
  <c r="P15" i="6"/>
  <c r="D33" i="6"/>
  <c r="P14" i="6"/>
  <c r="D32" i="6"/>
  <c r="P13" i="6"/>
  <c r="D31" i="6"/>
  <c r="D30" i="6"/>
  <c r="P11" i="6"/>
  <c r="D29" i="6"/>
  <c r="D28" i="6"/>
  <c r="P9" i="6"/>
  <c r="D27" i="6"/>
  <c r="P8" i="6"/>
  <c r="D26" i="6"/>
  <c r="D25" i="6"/>
  <c r="P6" i="6"/>
  <c r="D24" i="6"/>
  <c r="P5" i="6"/>
  <c r="D23" i="6"/>
  <c r="P4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K13" i="6"/>
  <c r="J13" i="6"/>
  <c r="I13" i="6"/>
  <c r="H13" i="6"/>
  <c r="G13" i="6"/>
  <c r="F13" i="6"/>
  <c r="E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K9" i="6"/>
  <c r="J9" i="6"/>
  <c r="I9" i="6"/>
  <c r="H9" i="6"/>
  <c r="G9" i="6"/>
  <c r="F9" i="6"/>
  <c r="E9" i="6"/>
  <c r="K8" i="6"/>
  <c r="J8" i="6"/>
  <c r="I8" i="6"/>
  <c r="H8" i="6"/>
  <c r="G8" i="6"/>
  <c r="F8" i="6"/>
  <c r="E8" i="6"/>
  <c r="K7" i="6"/>
  <c r="J7" i="6"/>
  <c r="I7" i="6"/>
  <c r="H7" i="6"/>
  <c r="G7" i="6"/>
  <c r="F7" i="6"/>
  <c r="E7" i="6"/>
  <c r="K6" i="6"/>
  <c r="J6" i="6"/>
  <c r="I6" i="6"/>
  <c r="H6" i="6"/>
  <c r="G6" i="6"/>
  <c r="F6" i="6"/>
  <c r="E6" i="6"/>
  <c r="K5" i="6"/>
  <c r="J5" i="6"/>
  <c r="I5" i="6"/>
  <c r="H5" i="6"/>
  <c r="G5" i="6"/>
  <c r="F5" i="6"/>
  <c r="E5" i="6"/>
  <c r="K4" i="6"/>
  <c r="J4" i="6"/>
  <c r="I4" i="6"/>
  <c r="H4" i="6"/>
  <c r="G4" i="6"/>
  <c r="F4" i="6"/>
  <c r="E4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V4" i="6"/>
  <c r="U4" i="6"/>
  <c r="A23" i="6"/>
  <c r="B21" i="6"/>
  <c r="R16" i="6"/>
  <c r="T14" i="6"/>
  <c r="R12" i="6"/>
  <c r="Q12" i="6"/>
  <c r="P12" i="6"/>
  <c r="T11" i="6"/>
  <c r="P10" i="6"/>
  <c r="S8" i="6"/>
  <c r="P7" i="6"/>
  <c r="T5" i="6"/>
  <c r="M4" i="6"/>
  <c r="M23" i="6"/>
  <c r="N2" i="6"/>
  <c r="N21" i="6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D4" i="1"/>
  <c r="E4" i="1"/>
  <c r="F4" i="1"/>
  <c r="G4" i="1"/>
  <c r="R17" i="8"/>
  <c r="R48" i="8"/>
  <c r="R48" i="7"/>
  <c r="R47" i="7"/>
  <c r="M4" i="1"/>
  <c r="M23" i="1"/>
  <c r="N2" i="1"/>
  <c r="N21" i="1"/>
  <c r="B21" i="1"/>
  <c r="A23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T4" i="1"/>
  <c r="S4" i="1"/>
  <c r="R4" i="1"/>
  <c r="Q4" i="1"/>
  <c r="P4" i="1"/>
  <c r="W4" i="1"/>
  <c r="V4" i="1"/>
  <c r="U4" i="1"/>
  <c r="R55" i="8"/>
  <c r="R56" i="8"/>
</calcChain>
</file>

<file path=xl/sharedStrings.xml><?xml version="1.0" encoding="utf-8"?>
<sst xmlns="http://schemas.openxmlformats.org/spreadsheetml/2006/main" count="144" uniqueCount="82">
  <si>
    <t>cm</t>
    <phoneticPr fontId="1" type="noConversion"/>
  </si>
  <si>
    <r>
      <t>fc'
(kgf/cm</t>
    </r>
    <r>
      <rPr>
        <vertAlign val="superscript"/>
        <sz val="12"/>
        <color theme="1"/>
        <rFont val="Book Antiqua"/>
        <family val="1"/>
      </rPr>
      <t>2</t>
    </r>
    <r>
      <rPr>
        <sz val="12"/>
        <color theme="1"/>
        <rFont val="Book Antiqua"/>
        <family val="1"/>
      </rPr>
      <t>)</t>
    </r>
    <phoneticPr fontId="1" type="noConversion"/>
  </si>
  <si>
    <r>
      <t>fy
(kgf/cm</t>
    </r>
    <r>
      <rPr>
        <vertAlign val="superscript"/>
        <sz val="12"/>
        <color theme="1"/>
        <rFont val="Book Antiqua"/>
        <family val="1"/>
      </rPr>
      <t>2</t>
    </r>
    <r>
      <rPr>
        <sz val="12"/>
        <color theme="1"/>
        <rFont val="Book Antiqua"/>
        <family val="1"/>
      </rPr>
      <t>)</t>
    </r>
    <phoneticPr fontId="1" type="noConversion"/>
  </si>
  <si>
    <t>主筋間距</t>
    <phoneticPr fontId="1" type="noConversion"/>
  </si>
  <si>
    <t>單位：</t>
    <phoneticPr fontId="1" type="noConversion"/>
  </si>
  <si>
    <t>保護層
厚度</t>
    <phoneticPr fontId="1" type="noConversion"/>
  </si>
  <si>
    <r>
      <t>牆、版非頂層受拉竹節鋼筋伸展長度 (l</t>
    </r>
    <r>
      <rPr>
        <vertAlign val="subscript"/>
        <sz val="16"/>
        <color theme="1"/>
        <rFont val="華康新特明體"/>
        <family val="3"/>
        <charset val="136"/>
      </rPr>
      <t>d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</si>
  <si>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牆、版頂層受拉竹節鋼筋伸展長度 (l</t>
    </r>
    <r>
      <rPr>
        <vertAlign val="subscript"/>
        <sz val="16"/>
        <color theme="1"/>
        <rFont val="華康新特明體"/>
        <family val="3"/>
        <charset val="136"/>
      </rPr>
      <t>dt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</si>
  <si>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牆、版非頂層受拉竹節鋼筋乙級搭接長度 (l</t>
    </r>
    <r>
      <rPr>
        <vertAlign val="subscript"/>
        <sz val="16"/>
        <color theme="1"/>
        <rFont val="華康新特明體"/>
        <family val="3"/>
        <charset val="136"/>
      </rPr>
      <t>s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</si>
  <si>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牆、版頂層受拉竹節鋼筋乙級搭接長度 (l</t>
    </r>
    <r>
      <rPr>
        <vertAlign val="subscript"/>
        <sz val="16"/>
        <color theme="1"/>
        <rFont val="華康新特明體"/>
        <family val="3"/>
        <charset val="136"/>
      </rPr>
      <t>st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</si>
  <si>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t>UPDATE</t>
    <phoneticPr fontId="1" type="noConversion"/>
  </si>
  <si>
    <t>PROJECT</t>
    <phoneticPr fontId="1" type="noConversion"/>
  </si>
  <si>
    <t>搭接長度算例</t>
    <phoneticPr fontId="1" type="noConversion"/>
  </si>
  <si>
    <t>SUBJECT</t>
    <phoneticPr fontId="1" type="noConversion"/>
  </si>
  <si>
    <t>版、牆（乙級搭接、未考慮耐震因素）</t>
  </si>
  <si>
    <t>版、牆（乙級搭接、未考慮耐震因素）</t>
    <phoneticPr fontId="1" type="noConversion"/>
  </si>
  <si>
    <t>設計規範：結構混凝土設計規範及解說，內政部，100年7月。</t>
    <phoneticPr fontId="1" type="noConversion"/>
  </si>
  <si>
    <t>主筋直徑</t>
    <phoneticPr fontId="1" type="noConversion"/>
  </si>
  <si>
    <t>保護層</t>
    <phoneticPr fontId="1" type="noConversion"/>
  </si>
  <si>
    <t>混凝土 fc'</t>
    <phoneticPr fontId="1" type="noConversion"/>
  </si>
  <si>
    <t>主筋 
Fy</t>
  </si>
  <si>
    <t>鋼筋最小間距</t>
    <phoneticPr fontId="1" type="noConversion"/>
  </si>
  <si>
    <t>箍筋直徑</t>
    <phoneticPr fontId="1" type="noConversion"/>
  </si>
  <si>
    <t>箍筋 
Fy</t>
  </si>
  <si>
    <t>箍筋
間距</t>
  </si>
  <si>
    <t>mm</t>
    <phoneticPr fontId="1" type="noConversion"/>
  </si>
  <si>
    <t>cm</t>
  </si>
  <si>
    <t xml:space="preserve"> kgf/cm²</t>
    <phoneticPr fontId="1" type="noConversion"/>
  </si>
  <si>
    <t xml:space="preserve"> kgf/cm²</t>
    <phoneticPr fontId="1" type="noConversion"/>
  </si>
  <si>
    <t xml:space="preserve"> kgf/cm²</t>
  </si>
  <si>
    <t>mm</t>
    <phoneticPr fontId="1" type="noConversion"/>
  </si>
  <si>
    <r>
      <t xml:space="preserve"> 箍筋直徑+保護層=C</t>
    </r>
    <r>
      <rPr>
        <vertAlign val="subscript"/>
        <sz val="12"/>
        <color theme="1"/>
        <rFont val="微軟正黑體"/>
        <family val="2"/>
        <charset val="136"/>
      </rPr>
      <t>c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</si>
  <si>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(鋼筋最小間距-主筋直徑)/2=C</t>
    </r>
    <r>
      <rPr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</si>
  <si>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主筋直徑/2+MIN(Cc,Cs)=C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</si>
  <si>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主筋直徑/(C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+Ktr)&lt;=0.4=修正因數=</t>
    </r>
    <phoneticPr fontId="1" type="noConversion"/>
  </si>
  <si>
    <r>
      <t>備註：K</t>
    </r>
    <r>
      <rPr>
        <vertAlign val="subscript"/>
        <sz val="12"/>
        <color theme="1"/>
        <rFont val="微軟正黑體"/>
        <family val="2"/>
        <charset val="136"/>
      </rPr>
      <t>tr</t>
    </r>
    <r>
      <rPr>
        <sz val="12"/>
        <color theme="1"/>
        <rFont val="微軟正黑體"/>
        <family val="2"/>
        <charset val="136"/>
      </rPr>
      <t>=0</t>
    </r>
    <phoneticPr fontId="1" type="noConversion"/>
  </si>
  <si>
    <r>
      <t>D19或較小之鋼筋=0.8*0.28*主筋Fy*主筋直徑/(混凝土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</si>
  <si>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D22或較大之鋼筋=0.28*主筋Fy*主筋直徑/(混凝土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</si>
  <si>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修正因數*l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</si>
  <si>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備註：ψ</t>
    </r>
    <r>
      <rPr>
        <vertAlign val="subscript"/>
        <sz val="12"/>
        <color theme="1"/>
        <rFont val="微軟正黑體"/>
        <family val="2"/>
        <charset val="136"/>
      </rPr>
      <t xml:space="preserve">e </t>
    </r>
    <r>
      <rPr>
        <sz val="12"/>
        <color theme="1"/>
        <rFont val="微軟正黑體"/>
        <family val="2"/>
        <charset val="136"/>
      </rPr>
      <t>與 λ 皆假設為1。Ψ</t>
    </r>
    <r>
      <rPr>
        <vertAlign val="subscript"/>
        <sz val="12"/>
        <color theme="1"/>
        <rFont val="微軟正黑體"/>
        <family val="2"/>
        <charset val="136"/>
      </rPr>
      <t>t於</t>
    </r>
    <r>
      <rPr>
        <sz val="12"/>
        <color theme="1"/>
        <rFont val="微軟正黑體"/>
        <family val="2"/>
        <charset val="136"/>
      </rPr>
      <t xml:space="preserve">步驟 4 計算。 </t>
    </r>
    <phoneticPr fontId="1" type="noConversion"/>
  </si>
  <si>
    <r>
      <t>無條件進位(1.3*1.3*l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頂層搭接長度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</si>
  <si>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無條件進位(1.3*l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一般搭接長度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</si>
  <si>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t>UPDATE</t>
    <phoneticPr fontId="1" type="noConversion"/>
  </si>
  <si>
    <t>PROJECT</t>
    <phoneticPr fontId="1" type="noConversion"/>
  </si>
  <si>
    <t>mm</t>
    <phoneticPr fontId="1" type="noConversion"/>
  </si>
  <si>
    <t>cm</t>
    <phoneticPr fontId="1" type="noConversion"/>
  </si>
  <si>
    <r>
      <rPr>
        <sz val="12"/>
        <color theme="1"/>
        <rFont val="微軟正黑體"/>
        <family val="2"/>
        <charset val="136"/>
      </rPr>
      <t>搭接長度算例</t>
    </r>
    <phoneticPr fontId="1" type="noConversion"/>
  </si>
  <si>
    <r>
      <rPr>
        <sz val="12"/>
        <color theme="1"/>
        <rFont val="微軟正黑體"/>
        <family val="2"/>
        <charset val="136"/>
      </rPr>
      <t>版、牆（乙級搭接、未考慮耐震因素）</t>
    </r>
  </si>
  <si>
    <r>
      <rPr>
        <sz val="12"/>
        <color theme="1"/>
        <rFont val="微軟正黑體"/>
        <family val="2"/>
        <charset val="136"/>
      </rPr>
      <t>版、牆（乙級搭接、未考慮耐震因素）</t>
    </r>
    <phoneticPr fontId="1" type="noConversion"/>
  </si>
  <si>
    <r>
      <rPr>
        <sz val="12"/>
        <color theme="1"/>
        <rFont val="微軟正黑體"/>
        <family val="2"/>
        <charset val="136"/>
      </rPr>
      <t>設計規範：結構混凝土設計規範及解說，內政部，</t>
    </r>
    <r>
      <rPr>
        <sz val="12"/>
        <color theme="1"/>
        <rFont val="Calibri"/>
        <family val="2"/>
      </rPr>
      <t>100</t>
    </r>
    <r>
      <rPr>
        <sz val="12"/>
        <color theme="1"/>
        <rFont val="微軟正黑體"/>
        <family val="2"/>
        <charset val="136"/>
      </rPr>
      <t>年</t>
    </r>
    <r>
      <rPr>
        <sz val="12"/>
        <color theme="1"/>
        <rFont val="Calibri"/>
        <family val="2"/>
      </rPr>
      <t>7</t>
    </r>
    <r>
      <rPr>
        <sz val="12"/>
        <color theme="1"/>
        <rFont val="微軟正黑體"/>
        <family val="2"/>
        <charset val="136"/>
      </rPr>
      <t>月。</t>
    </r>
    <phoneticPr fontId="1" type="noConversion"/>
  </si>
  <si>
    <r>
      <rPr>
        <sz val="12"/>
        <color theme="1"/>
        <rFont val="微軟正黑體"/>
        <family val="2"/>
        <charset val="136"/>
      </rPr>
      <t>主筋直徑</t>
    </r>
    <phoneticPr fontId="1" type="noConversion"/>
  </si>
  <si>
    <r>
      <rPr>
        <sz val="12"/>
        <color theme="1"/>
        <rFont val="微軟正黑體"/>
        <family val="2"/>
        <charset val="136"/>
      </rPr>
      <t>保護層</t>
    </r>
    <phoneticPr fontId="1" type="noConversion"/>
  </si>
  <si>
    <r>
      <rPr>
        <sz val="12"/>
        <color theme="1"/>
        <rFont val="微軟正黑體"/>
        <family val="2"/>
        <charset val="136"/>
      </rPr>
      <t>混凝土</t>
    </r>
    <r>
      <rPr>
        <sz val="12"/>
        <color theme="1"/>
        <rFont val="Calibri"/>
        <family val="2"/>
      </rPr>
      <t xml:space="preserve"> fc'</t>
    </r>
    <phoneticPr fontId="1" type="noConversion"/>
  </si>
  <si>
    <r>
      <rPr>
        <sz val="12"/>
        <color theme="1"/>
        <rFont val="微軟正黑體"/>
        <family val="2"/>
        <charset val="136"/>
      </rPr>
      <t>主筋</t>
    </r>
    <r>
      <rPr>
        <sz val="12"/>
        <color theme="1"/>
        <rFont val="Calibri"/>
        <family val="2"/>
      </rPr>
      <t xml:space="preserve"> 
Fy</t>
    </r>
  </si>
  <si>
    <r>
      <rPr>
        <sz val="12"/>
        <color theme="1"/>
        <rFont val="微軟正黑體"/>
        <family val="2"/>
        <charset val="136"/>
      </rPr>
      <t>鋼筋最小間距</t>
    </r>
    <phoneticPr fontId="1" type="noConversion"/>
  </si>
  <si>
    <r>
      <rPr>
        <sz val="12"/>
        <color theme="1"/>
        <rFont val="微軟正黑體"/>
        <family val="2"/>
        <charset val="136"/>
      </rPr>
      <t>箍筋直徑</t>
    </r>
    <phoneticPr fontId="1" type="noConversion"/>
  </si>
  <si>
    <r>
      <rPr>
        <sz val="12"/>
        <color theme="1"/>
        <rFont val="微軟正黑體"/>
        <family val="2"/>
        <charset val="136"/>
      </rPr>
      <t>箍筋</t>
    </r>
    <r>
      <rPr>
        <sz val="12"/>
        <color theme="1"/>
        <rFont val="Calibri"/>
        <family val="2"/>
      </rPr>
      <t xml:space="preserve"> 
Fy</t>
    </r>
  </si>
  <si>
    <r>
      <rPr>
        <sz val="12"/>
        <color theme="1"/>
        <rFont val="微軟正黑體"/>
        <family val="2"/>
        <charset val="136"/>
      </rPr>
      <t>箍筋
間距</t>
    </r>
  </si>
  <si>
    <r>
      <t xml:space="preserve"> </t>
    </r>
    <r>
      <rPr>
        <sz val="12"/>
        <color theme="1"/>
        <rFont val="微軟正黑體"/>
        <family val="2"/>
        <charset val="136"/>
      </rPr>
      <t>箍筋直徑</t>
    </r>
    <r>
      <rPr>
        <sz val="12"/>
        <color theme="1"/>
        <rFont val="Calibri"/>
        <family val="2"/>
      </rPr>
      <t>+</t>
    </r>
    <r>
      <rPr>
        <sz val="12"/>
        <color theme="1"/>
        <rFont val="微軟正黑體"/>
        <family val="2"/>
        <charset val="136"/>
      </rPr>
      <t>保護層</t>
    </r>
    <r>
      <rPr>
        <sz val="12"/>
        <color theme="1"/>
        <rFont val="Calibri"/>
        <family val="2"/>
      </rPr>
      <t>=C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>=</t>
    </r>
    <phoneticPr fontId="1" type="noConversion"/>
  </si>
  <si>
    <r>
      <t>(</t>
    </r>
    <r>
      <rPr>
        <sz val="12"/>
        <color theme="1"/>
        <rFont val="微軟正黑體"/>
        <family val="2"/>
        <charset val="136"/>
      </rPr>
      <t>鋼筋最小間距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主筋直徑</t>
    </r>
    <r>
      <rPr>
        <sz val="12"/>
        <color theme="1"/>
        <rFont val="Calibri"/>
        <family val="2"/>
      </rPr>
      <t>*2)/2=C</t>
    </r>
    <r>
      <rPr>
        <vertAlign val="subscript"/>
        <sz val="12"/>
        <color theme="1"/>
        <rFont val="Calibri"/>
        <family val="2"/>
      </rPr>
      <t>s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</si>
  <si>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2"/>
        <color theme="1"/>
        <rFont val="微軟正黑體"/>
        <family val="2"/>
        <charset val="136"/>
      </rPr>
      <t>主筋直徑</t>
    </r>
    <r>
      <rPr>
        <sz val="12"/>
        <color theme="1"/>
        <rFont val="Calibri"/>
        <family val="2"/>
      </rPr>
      <t>/2+MIN(Cc,Cs)=C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</si>
  <si>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4"/>
        <color theme="1"/>
        <rFont val="微軟正黑體"/>
        <family val="2"/>
        <charset val="136"/>
      </rPr>
      <t>垂直劈裂</t>
    </r>
    <phoneticPr fontId="1" type="noConversion"/>
  </si>
  <si>
    <r>
      <rPr>
        <sz val="14"/>
        <color theme="1"/>
        <rFont val="微軟正黑體"/>
        <family val="2"/>
        <charset val="136"/>
      </rPr>
      <t>垂直劈裂</t>
    </r>
    <r>
      <rPr>
        <sz val="14"/>
        <color theme="1"/>
        <rFont val="Calibri"/>
        <family val="2"/>
      </rPr>
      <t xml:space="preserve"> Atr = PI*</t>
    </r>
    <r>
      <rPr>
        <sz val="14"/>
        <color theme="1"/>
        <rFont val="微軟正黑體"/>
        <family val="2"/>
        <charset val="136"/>
      </rPr>
      <t>箍筋直徑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/4 =</t>
    </r>
    <phoneticPr fontId="1" type="noConversion"/>
  </si>
  <si>
    <r>
      <t>cm</t>
    </r>
    <r>
      <rPr>
        <vertAlign val="superscript"/>
        <sz val="12"/>
        <color theme="1"/>
        <rFont val="Calibri"/>
        <family val="2"/>
      </rPr>
      <t>2</t>
    </r>
    <phoneticPr fontId="1" type="noConversion"/>
  </si>
  <si>
    <r>
      <rPr>
        <sz val="14"/>
        <color theme="1"/>
        <rFont val="微軟正黑體"/>
        <family val="2"/>
        <charset val="136"/>
      </rPr>
      <t>垂直劈裂</t>
    </r>
    <r>
      <rPr>
        <sz val="14"/>
        <color theme="1"/>
        <rFont val="Calibri"/>
        <family val="2"/>
      </rPr>
      <t xml:space="preserve"> Atr * </t>
    </r>
    <r>
      <rPr>
        <sz val="14"/>
        <color theme="1"/>
        <rFont val="微軟正黑體"/>
        <family val="2"/>
        <charset val="136"/>
      </rPr>
      <t>箍筋</t>
    </r>
    <r>
      <rPr>
        <sz val="14"/>
        <color theme="1"/>
        <rFont val="Calibri"/>
        <family val="2"/>
      </rPr>
      <t>Fy/105/</t>
    </r>
    <r>
      <rPr>
        <sz val="14"/>
        <color theme="1"/>
        <rFont val="微軟正黑體"/>
        <family val="2"/>
        <charset val="136"/>
      </rPr>
      <t>箍筋間距</t>
    </r>
    <r>
      <rPr>
        <sz val="14"/>
        <color theme="1"/>
        <rFont val="Calibri"/>
        <family val="2"/>
      </rPr>
      <t xml:space="preserve"> = </t>
    </r>
    <r>
      <rPr>
        <sz val="14"/>
        <color theme="1"/>
        <rFont val="微軟正黑體"/>
        <family val="2"/>
        <charset val="136"/>
      </rPr>
      <t>垂直劈裂</t>
    </r>
    <r>
      <rPr>
        <sz val="14"/>
        <color theme="1"/>
        <rFont val="Calibri"/>
        <family val="2"/>
      </rPr>
      <t xml:space="preserve"> Ktr =</t>
    </r>
    <phoneticPr fontId="1" type="noConversion"/>
  </si>
  <si>
    <r>
      <rPr>
        <sz val="12"/>
        <color theme="1"/>
        <rFont val="微軟正黑體"/>
        <family val="2"/>
        <charset val="136"/>
      </rPr>
      <t>主筋直徑</t>
    </r>
    <r>
      <rPr>
        <sz val="12"/>
        <color theme="1"/>
        <rFont val="Calibri"/>
        <family val="2"/>
      </rPr>
      <t>/(C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+Ktr)&lt;=0.4=</t>
    </r>
    <r>
      <rPr>
        <sz val="12"/>
        <color theme="1"/>
        <rFont val="微軟正黑體"/>
        <family val="2"/>
        <charset val="136"/>
      </rPr>
      <t>修正因數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</si>
  <si>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2"/>
        <color theme="1"/>
        <rFont val="微軟正黑體"/>
        <family val="2"/>
        <charset val="136"/>
      </rPr>
      <t>備註：</t>
    </r>
    <r>
      <rPr>
        <sz val="12"/>
        <color theme="1"/>
        <rFont val="Calibri"/>
        <family val="2"/>
      </rPr>
      <t>K</t>
    </r>
    <r>
      <rPr>
        <vertAlign val="subscript"/>
        <sz val="12"/>
        <color theme="1"/>
        <rFont val="Calibri"/>
        <family val="2"/>
      </rPr>
      <t>tr</t>
    </r>
    <r>
      <rPr>
        <sz val="12"/>
        <color theme="1"/>
        <rFont val="Calibri"/>
        <family val="2"/>
      </rPr>
      <t>=0</t>
    </r>
    <phoneticPr fontId="1" type="noConversion"/>
  </si>
  <si>
    <r>
      <t>D19</t>
    </r>
    <r>
      <rPr>
        <sz val="12"/>
        <color theme="1"/>
        <rFont val="微軟正黑體"/>
        <family val="2"/>
        <charset val="136"/>
      </rPr>
      <t>或較小之鋼筋</t>
    </r>
    <r>
      <rPr>
        <sz val="12"/>
        <color theme="1"/>
        <rFont val="Calibri"/>
        <family val="2"/>
      </rPr>
      <t>=0.8*0.28*</t>
    </r>
    <r>
      <rPr>
        <sz val="12"/>
        <color theme="1"/>
        <rFont val="微軟正黑體"/>
        <family val="2"/>
        <charset val="136"/>
      </rPr>
      <t>主筋</t>
    </r>
    <r>
      <rPr>
        <sz val="12"/>
        <color theme="1"/>
        <rFont val="Calibri"/>
        <family val="2"/>
      </rPr>
      <t>Fy*</t>
    </r>
    <r>
      <rPr>
        <sz val="12"/>
        <color theme="1"/>
        <rFont val="微軟正黑體"/>
        <family val="2"/>
        <charset val="136"/>
      </rPr>
      <t>主筋直徑</t>
    </r>
    <r>
      <rPr>
        <sz val="12"/>
        <color theme="1"/>
        <rFont val="Calibri"/>
        <family val="2"/>
      </rPr>
      <t>/(</t>
    </r>
    <r>
      <rPr>
        <sz val="12"/>
        <color theme="1"/>
        <rFont val="微軟正黑體"/>
        <family val="2"/>
        <charset val="136"/>
      </rPr>
      <t>混凝土</t>
    </r>
    <r>
      <rPr>
        <sz val="12"/>
        <color theme="1"/>
        <rFont val="Calibri"/>
        <family val="2"/>
      </rPr>
      <t xml:space="preserve"> fc')</t>
    </r>
    <r>
      <rPr>
        <vertAlign val="superscript"/>
        <sz val="12"/>
        <color theme="1"/>
        <rFont val="Calibri"/>
        <family val="2"/>
      </rPr>
      <t>(1/2)</t>
    </r>
    <r>
      <rPr>
        <sz val="12"/>
        <color theme="1"/>
        <rFont val="Calibri"/>
        <family val="2"/>
      </rPr>
      <t>=l</t>
    </r>
    <r>
      <rPr>
        <vertAlign val="subscript"/>
        <sz val="12"/>
        <color theme="1"/>
        <rFont val="Calibri"/>
        <family val="2"/>
      </rPr>
      <t>db</t>
    </r>
    <r>
      <rPr>
        <sz val="12"/>
        <color theme="1"/>
        <rFont val="Calibri"/>
        <family val="2"/>
      </rPr>
      <t>=</t>
    </r>
    <phoneticPr fontId="1" type="noConversion"/>
  </si>
  <si>
    <r>
      <t>D22</t>
    </r>
    <r>
      <rPr>
        <sz val="12"/>
        <color theme="1"/>
        <rFont val="微軟正黑體"/>
        <family val="2"/>
        <charset val="136"/>
      </rPr>
      <t>或較大之鋼筋</t>
    </r>
    <r>
      <rPr>
        <sz val="12"/>
        <color theme="1"/>
        <rFont val="Calibri"/>
        <family val="2"/>
      </rPr>
      <t>=0.28*</t>
    </r>
    <r>
      <rPr>
        <sz val="12"/>
        <color theme="1"/>
        <rFont val="微軟正黑體"/>
        <family val="2"/>
        <charset val="136"/>
      </rPr>
      <t>主筋</t>
    </r>
    <r>
      <rPr>
        <sz val="12"/>
        <color theme="1"/>
        <rFont val="Calibri"/>
        <family val="2"/>
      </rPr>
      <t>Fy*</t>
    </r>
    <r>
      <rPr>
        <sz val="12"/>
        <color theme="1"/>
        <rFont val="微軟正黑體"/>
        <family val="2"/>
        <charset val="136"/>
      </rPr>
      <t>主筋直徑</t>
    </r>
    <r>
      <rPr>
        <sz val="12"/>
        <color theme="1"/>
        <rFont val="Calibri"/>
        <family val="2"/>
      </rPr>
      <t>/(</t>
    </r>
    <r>
      <rPr>
        <sz val="12"/>
        <color theme="1"/>
        <rFont val="微軟正黑體"/>
        <family val="2"/>
        <charset val="136"/>
      </rPr>
      <t>混凝土</t>
    </r>
    <r>
      <rPr>
        <sz val="12"/>
        <color theme="1"/>
        <rFont val="Calibri"/>
        <family val="2"/>
      </rPr>
      <t xml:space="preserve"> fc')</t>
    </r>
    <r>
      <rPr>
        <vertAlign val="superscript"/>
        <sz val="12"/>
        <color theme="1"/>
        <rFont val="Calibri"/>
        <family val="2"/>
      </rPr>
      <t>(1/2)</t>
    </r>
    <r>
      <rPr>
        <sz val="12"/>
        <color theme="1"/>
        <rFont val="Calibri"/>
        <family val="2"/>
      </rPr>
      <t>=l</t>
    </r>
    <r>
      <rPr>
        <vertAlign val="subscript"/>
        <sz val="12"/>
        <color theme="1"/>
        <rFont val="Calibri"/>
        <family val="2"/>
      </rPr>
      <t>db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</si>
  <si>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2"/>
        <color theme="1"/>
        <rFont val="微軟正黑體"/>
        <family val="2"/>
        <charset val="136"/>
      </rPr>
      <t>修正因數</t>
    </r>
    <r>
      <rPr>
        <sz val="12"/>
        <color theme="1"/>
        <rFont val="Calibri"/>
        <family val="2"/>
      </rPr>
      <t>*l</t>
    </r>
    <r>
      <rPr>
        <vertAlign val="subscript"/>
        <sz val="12"/>
        <color theme="1"/>
        <rFont val="Calibri"/>
        <family val="2"/>
      </rPr>
      <t>db</t>
    </r>
    <r>
      <rPr>
        <sz val="12"/>
        <color theme="1"/>
        <rFont val="Calibri"/>
        <family val="2"/>
      </rPr>
      <t>=l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</si>
  <si>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2"/>
        <color theme="1"/>
        <rFont val="微軟正黑體"/>
        <family val="2"/>
        <charset val="136"/>
      </rPr>
      <t>備註：</t>
    </r>
    <r>
      <rPr>
        <sz val="12"/>
        <color theme="1"/>
        <rFont val="Calibri"/>
        <family val="2"/>
      </rPr>
      <t>ψ</t>
    </r>
    <r>
      <rPr>
        <vertAlign val="subscript"/>
        <sz val="12"/>
        <color theme="1"/>
        <rFont val="Calibri"/>
        <family val="2"/>
      </rPr>
      <t xml:space="preserve">e </t>
    </r>
    <r>
      <rPr>
        <sz val="12"/>
        <color theme="1"/>
        <rFont val="微軟正黑體"/>
        <family val="2"/>
        <charset val="136"/>
      </rPr>
      <t>與</t>
    </r>
    <r>
      <rPr>
        <sz val="12"/>
        <color theme="1"/>
        <rFont val="Calibri"/>
        <family val="2"/>
      </rPr>
      <t xml:space="preserve"> λ </t>
    </r>
    <r>
      <rPr>
        <sz val="12"/>
        <color theme="1"/>
        <rFont val="微軟正黑體"/>
        <family val="2"/>
        <charset val="136"/>
      </rPr>
      <t>皆假設為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。</t>
    </r>
    <r>
      <rPr>
        <sz val="12"/>
        <color theme="1"/>
        <rFont val="Calibri"/>
        <family val="2"/>
      </rPr>
      <t>Ψ</t>
    </r>
    <r>
      <rPr>
        <vertAlign val="subscript"/>
        <sz val="12"/>
        <color theme="1"/>
        <rFont val="Calibri"/>
        <family val="2"/>
      </rPr>
      <t>t</t>
    </r>
    <r>
      <rPr>
        <vertAlign val="subscript"/>
        <sz val="12"/>
        <color theme="1"/>
        <rFont val="微軟正黑體"/>
        <family val="2"/>
        <charset val="136"/>
      </rPr>
      <t>於</t>
    </r>
    <r>
      <rPr>
        <sz val="12"/>
        <color theme="1"/>
        <rFont val="微軟正黑體"/>
        <family val="2"/>
        <charset val="136"/>
      </rPr>
      <t>步驟</t>
    </r>
    <r>
      <rPr>
        <sz val="12"/>
        <color theme="1"/>
        <rFont val="Calibri"/>
        <family val="2"/>
      </rPr>
      <t xml:space="preserve"> 4 </t>
    </r>
    <r>
      <rPr>
        <sz val="12"/>
        <color theme="1"/>
        <rFont val="微軟正黑體"/>
        <family val="2"/>
        <charset val="136"/>
      </rPr>
      <t>計算。</t>
    </r>
    <r>
      <rPr>
        <sz val="12"/>
        <color theme="1"/>
        <rFont val="Calibri"/>
        <family val="2"/>
      </rPr>
      <t xml:space="preserve"> </t>
    </r>
    <phoneticPr fontId="1" type="noConversion"/>
  </si>
  <si>
    <r>
      <rPr>
        <sz val="12"/>
        <color theme="1"/>
        <rFont val="微軟正黑體"/>
        <family val="2"/>
        <charset val="136"/>
      </rPr>
      <t>無條件進位</t>
    </r>
    <r>
      <rPr>
        <sz val="12"/>
        <color theme="1"/>
        <rFont val="Calibri"/>
        <family val="2"/>
      </rPr>
      <t>(1.3*1.3*l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)=</t>
    </r>
    <r>
      <rPr>
        <sz val="12"/>
        <color rgb="FFFF0000"/>
        <rFont val="微軟正黑體"/>
        <family val="2"/>
        <charset val="136"/>
      </rPr>
      <t>頂層搭接長度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</si>
  <si>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2"/>
        <color theme="1"/>
        <rFont val="微軟正黑體"/>
        <family val="2"/>
        <charset val="136"/>
      </rPr>
      <t>無條件進位</t>
    </r>
    <r>
      <rPr>
        <sz val="12"/>
        <color theme="1"/>
        <rFont val="Calibri"/>
        <family val="2"/>
      </rPr>
      <t>(1.3*l</t>
    </r>
    <r>
      <rPr>
        <vertAlign val="subscript"/>
        <sz val="12"/>
        <color theme="1"/>
        <rFont val="Calibri"/>
        <family val="2"/>
      </rPr>
      <t>d</t>
    </r>
    <r>
      <rPr>
        <sz val="12"/>
        <color theme="1"/>
        <rFont val="Calibri"/>
        <family val="2"/>
      </rPr>
      <t>)=</t>
    </r>
    <r>
      <rPr>
        <sz val="12"/>
        <color rgb="FFFF0000"/>
        <rFont val="微軟正黑體"/>
        <family val="2"/>
        <charset val="136"/>
      </rPr>
      <t>一般搭接長度</t>
    </r>
    <r>
      <rPr>
        <sz val="12"/>
        <color theme="1"/>
        <rFont val="Calibri"/>
        <family val="2"/>
      </rPr>
      <t>=</t>
    </r>
    <phoneticPr fontId="1" type="noConversion"/>
  </si>
  <si>
    <r>
      <rPr>
        <sz val="16"/>
        <color theme="1"/>
        <rFont val="微軟正黑體"/>
        <family val="2"/>
        <charset val="136"/>
      </rPr>
      <t>牆、版非頂層受拉竹節鋼筋伸展長度</t>
    </r>
    <r>
      <rPr>
        <sz val="16"/>
        <color theme="1"/>
        <rFont val="Calibri"/>
        <family val="2"/>
      </rPr>
      <t xml:space="preserve"> (l</t>
    </r>
    <r>
      <rPr>
        <vertAlign val="subscript"/>
        <sz val="16"/>
        <color theme="1"/>
        <rFont val="Calibri"/>
        <family val="2"/>
      </rPr>
      <t>d</t>
    </r>
    <r>
      <rPr>
        <sz val="16"/>
        <color theme="1"/>
        <rFont val="Calibri"/>
        <family val="2"/>
      </rPr>
      <t>)</t>
    </r>
    <phoneticPr fontId="1" type="noConversion"/>
  </si>
  <si>
    <r>
      <rPr>
        <sz val="16"/>
        <color theme="1"/>
        <rFont val="微軟正黑體"/>
        <family val="2"/>
        <charset val="136"/>
      </rPr>
      <t>牆、版非頂層受拉竹節鋼筋乙級搭接長度</t>
    </r>
    <r>
      <rPr>
        <sz val="16"/>
        <color theme="1"/>
        <rFont val="Calibri"/>
        <family val="2"/>
      </rPr>
      <t xml:space="preserve"> (l</t>
    </r>
    <r>
      <rPr>
        <vertAlign val="subscript"/>
        <sz val="16"/>
        <color theme="1"/>
        <rFont val="Calibri"/>
        <family val="2"/>
      </rPr>
      <t>s</t>
    </r>
    <r>
      <rPr>
        <sz val="16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</si>
  <si>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主筋間距</t>
    </r>
    <phoneticPr fontId="1" type="noConversion"/>
  </si>
  <si>
    <r>
      <rPr>
        <sz val="12"/>
        <color theme="1"/>
        <rFont val="微軟正黑體"/>
        <family val="2"/>
        <charset val="136"/>
      </rPr>
      <t>單位：</t>
    </r>
    <phoneticPr fontId="1" type="noConversion"/>
  </si>
  <si>
    <r>
      <rPr>
        <sz val="12"/>
        <color theme="1"/>
        <rFont val="微軟正黑體"/>
        <family val="2"/>
        <charset val="136"/>
      </rPr>
      <t>保護層
厚度</t>
    </r>
    <phoneticPr fontId="1" type="noConversion"/>
  </si>
  <si>
    <r>
      <t>fy
(kgf/cm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" type="noConversion"/>
  </si>
  <si>
    <r>
      <t>fc'
(kgf/cm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</si>
  <si>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6"/>
        <color theme="1"/>
        <rFont val="微軟正黑體"/>
        <family val="2"/>
        <charset val="136"/>
      </rPr>
      <t>牆、版頂層受拉竹節鋼筋伸展長度</t>
    </r>
    <r>
      <rPr>
        <sz val="16"/>
        <color theme="1"/>
        <rFont val="Calibri"/>
        <family val="2"/>
      </rPr>
      <t xml:space="preserve"> (l</t>
    </r>
    <r>
      <rPr>
        <vertAlign val="subscript"/>
        <sz val="16"/>
        <color theme="1"/>
        <rFont val="Calibri"/>
        <family val="2"/>
      </rPr>
      <t>dt</t>
    </r>
    <r>
      <rPr>
        <sz val="16"/>
        <color theme="1"/>
        <rFont val="Calibri"/>
        <family val="2"/>
      </rPr>
      <t>)</t>
    </r>
    <phoneticPr fontId="1" type="noConversion"/>
  </si>
  <si>
    <r>
      <rPr>
        <sz val="16"/>
        <color theme="1"/>
        <rFont val="微軟正黑體"/>
        <family val="2"/>
        <charset val="136"/>
      </rPr>
      <t>牆、版頂層受拉竹節鋼筋乙級搭接長度</t>
    </r>
    <r>
      <rPr>
        <sz val="16"/>
        <color theme="1"/>
        <rFont val="Calibri"/>
        <family val="2"/>
      </rPr>
      <t xml:space="preserve"> (l</t>
    </r>
    <r>
      <rPr>
        <vertAlign val="subscript"/>
        <sz val="16"/>
        <color theme="1"/>
        <rFont val="Calibri"/>
        <family val="2"/>
      </rPr>
      <t>st</t>
    </r>
    <r>
      <rPr>
        <sz val="16"/>
        <color theme="1"/>
        <rFont val="Calibri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</si>
</sst>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D&quot;0"/>
    <numFmt numFmtId="177" formatCode="&quot;³&quot;\ 0.0"/>
    <numFmt numFmtId="178" formatCode="0.0"/>
  </numFmts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新特明體"/>
      <family val="3"/>
      <charset val="136"/>
    </font>
    <font>
      <sz val="12"/>
      <color theme="1"/>
      <name val="Book Antiqua"/>
      <family val="1"/>
    </font>
    <font>
      <vertAlign val="superscript"/>
      <sz val="12"/>
      <color theme="1"/>
      <name val="Book Antiqua"/>
      <family val="1"/>
    </font>
    <font>
      <sz val="12"/>
      <color rgb="FFFF0000"/>
      <name val="Symbol"/>
      <family val="1"/>
      <charset val="2"/>
    </font>
    <font>
      <sz val="16"/>
      <color theme="1"/>
      <name val="華康新特明體"/>
      <family val="3"/>
      <charset val="136"/>
    </font>
    <font>
      <vertAlign val="subscript"/>
      <sz val="16"/>
      <color theme="1"/>
      <name val="華康新特明體"/>
      <family val="3"/>
      <charset val="136"/>
    </font>
    <font>
      <sz val="12"/>
      <name val="Symbol"/>
      <family val="1"/>
      <charset val="2"/>
    </font>
    <font>
      <sz val="12"/>
      <color theme="1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theme="3" tint="0.59999389629810485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indexed="12"/>
      <name val="Calibri"/>
      <family val="2"/>
    </font>
    <font>
      <sz val="12"/>
      <color theme="3" tint="0.59999389629810485"/>
      <name val="Calibri"/>
      <family val="2"/>
    </font>
    <font>
      <vertAlign val="subscript"/>
      <sz val="12"/>
      <color theme="1"/>
      <name val="Calibri"/>
      <family val="2"/>
    </font>
    <font>
      <sz val="14"/>
      <color theme="1"/>
      <name val="Calibri"/>
      <family val="2"/>
    </font>
    <font>
      <vertAlign val="superscript"/>
      <sz val="12"/>
      <color theme="1"/>
      <name val="Calibri"/>
      <family val="2"/>
    </font>
    <font>
      <sz val="14"/>
      <color rgb="FFFF0000"/>
      <name val="Calibri"/>
      <family val="2"/>
    </font>
    <font>
      <sz val="12"/>
      <color rgb="FFFF0000"/>
      <name val="Calibri"/>
      <family val="2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left" vertical="center"/>
    </xf>
    <xf numFmtId="177" fontId="5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righ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 vertical="center"/>
    </xf>
    <xf numFmtId="0" fontId="9" fillId="3" borderId="13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0" xfId="0" applyFont="1" applyFill="1" applyAlignment="1">
      <alignment horizontal="right" vertical="center"/>
    </xf>
    <xf numFmtId="0" fontId="14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4" fontId="16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right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/>
    </xf>
    <xf numFmtId="0" fontId="20" fillId="3" borderId="13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178" fontId="20" fillId="3" borderId="0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78" fontId="20" fillId="3" borderId="0" xfId="0" applyNumberFormat="1" applyFont="1" applyFill="1" applyBorder="1" applyAlignment="1">
      <alignment vertical="center"/>
    </xf>
    <xf numFmtId="0" fontId="20" fillId="3" borderId="14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right" vertical="center"/>
    </xf>
    <xf numFmtId="178" fontId="22" fillId="3" borderId="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2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6" fillId="0" borderId="2" xfId="0" applyFont="1" applyBorder="1" applyAlignment="1">
      <alignment horizontal="right" vertical="center"/>
    </xf>
    <xf numFmtId="177" fontId="23" fillId="0" borderId="3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1" fontId="16" fillId="0" borderId="4" xfId="0" applyNumberFormat="1" applyFont="1" applyBorder="1" applyAlignment="1">
      <alignment horizontal="left" vertical="center"/>
    </xf>
    <xf numFmtId="177" fontId="27" fillId="0" borderId="3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/>
    </xf>
    <xf numFmtId="177" fontId="2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77" fontId="27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891057</xdr:colOff>
      <xdr:row>10</xdr:row>
      <xdr:rowOff>0</xdr:rowOff>
    </xdr:from>
    <xdr:to>
      <xdr:col>13</xdr:col>
      <xdr:colOff>67565</xdr:colOff>
      <xdr:row>20</xdr:row>
      <xdr:rowOff>82543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B9940A9-546D-4873-B075-3222D19D4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732" y="2028825"/>
          <a:ext cx="7796633" cy="225424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422662</xdr:colOff>
      <xdr:row>22</xdr:row>
      <xdr:rowOff>113293</xdr:rowOff>
    </xdr:from>
    <xdr:to>
      <xdr:col>13</xdr:col>
      <xdr:colOff>586603</xdr:colOff>
      <xdr:row>31</xdr:row>
      <xdr:rowOff>80877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3ADEF12-CF76-4F1F-97F7-17817C05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887" y="4713868"/>
          <a:ext cx="8574516" cy="18821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146517</xdr:colOff>
      <xdr:row>37</xdr:row>
      <xdr:rowOff>140805</xdr:rowOff>
    </xdr:from>
    <xdr:to>
      <xdr:col>14</xdr:col>
      <xdr:colOff>267479</xdr:colOff>
      <xdr:row>43</xdr:row>
      <xdr:rowOff>94126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EEFD839-1182-434D-80D8-DE6FD636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742" y="7856055"/>
          <a:ext cx="9217337" cy="138207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159319</xdr:colOff>
      <xdr:row>55</xdr:row>
      <xdr:rowOff>89646</xdr:rowOff>
    </xdr:from>
    <xdr:to>
      <xdr:col>11</xdr:col>
      <xdr:colOff>733340</xdr:colOff>
      <xdr:row>64</xdr:row>
      <xdr:rowOff>145322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D578603-C341-4086-81F1-621E03F8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4344" y="11748246"/>
          <a:ext cx="6850996" cy="18559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173294</xdr:colOff>
      <xdr:row>47</xdr:row>
      <xdr:rowOff>127651</xdr:rowOff>
    </xdr:from>
    <xdr:to>
      <xdr:col>13</xdr:col>
      <xdr:colOff>653838</xdr:colOff>
      <xdr:row>52</xdr:row>
      <xdr:rowOff>171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B9856A6F-B35F-4033-B50B-F38620573C68}"/>
            </a:ext>
          </a:extLst>
        </xdr:cNvPr>
        <xdr:cNvGrpSpPr/>
      </xdr:nvGrpSpPr>
      <xdr:grpSpPr>
        <a:xfrm>
          <a:off x="2268794" y="10278580"/>
          <a:ext cx="8195794" cy="947484"/>
          <a:chOff x="1884384" y="13426110"/>
          <a:chExt cx="7359007" cy="1051891"/>
        </a:xfrm>
      </xdr:grpSpPr>
      <xdr:pic>
        <xdr:nvPicPr>
          <xdr:cNvPr id="8" name="圖片 7">
            <a:extLst>
              <a:ext uri="{FF2B5EF4-FFF2-40B4-BE49-F238E27FC236}">
                <a16:creationId xmlns:a16="http://schemas.microsoft.com/office/drawing/2014/main" id="{6397E32E-E068-4E51-BABC-12D66A1D87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884384" y="13483781"/>
            <a:ext cx="7359007" cy="86169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B759FB1-8656-4CD2-8946-68622DEA3DCF}"/>
              </a:ext>
            </a:extLst>
          </xdr:cNvPr>
          <xdr:cNvSpPr/>
        </xdr:nvSpPr>
        <xdr:spPr>
          <a:xfrm>
            <a:off x="8299174" y="13426110"/>
            <a:ext cx="223631" cy="10518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681756</xdr:colOff>
      <xdr:row>32</xdr:row>
      <xdr:rowOff>66260</xdr:rowOff>
    </xdr:from>
    <xdr:to>
      <xdr:col>13</xdr:col>
      <xdr:colOff>535884</xdr:colOff>
      <xdr:row>38</xdr:row>
      <xdr:rowOff>33131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5C68CBB0-F467-436A-9FD6-3D1D78E0A715}"/>
            </a:ext>
          </a:extLst>
        </xdr:cNvPr>
        <xdr:cNvGrpSpPr/>
      </xdr:nvGrpSpPr>
      <xdr:grpSpPr>
        <a:xfrm>
          <a:off x="2096899" y="6883439"/>
          <a:ext cx="8249735" cy="1245942"/>
          <a:chOff x="2056669" y="6783456"/>
          <a:chExt cx="7416150" cy="1333501"/>
        </a:xfrm>
      </xdr:grpSpPr>
      <xdr:pic>
        <xdr:nvPicPr>
          <xdr:cNvPr id="11" name="圖片 10">
            <a:extLst>
              <a:ext uri="{FF2B5EF4-FFF2-40B4-BE49-F238E27FC236}">
                <a16:creationId xmlns:a16="http://schemas.microsoft.com/office/drawing/2014/main" id="{C1D65060-3E4D-4D54-BCAC-1C0AD5D505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056669" y="6973957"/>
            <a:ext cx="7416150" cy="95569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8389EF4C-DEF0-457A-AE13-5BAE33C1D4D3}"/>
              </a:ext>
            </a:extLst>
          </xdr:cNvPr>
          <xdr:cNvSpPr/>
        </xdr:nvSpPr>
        <xdr:spPr>
          <a:xfrm>
            <a:off x="8456544" y="6783456"/>
            <a:ext cx="306457" cy="13335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891057</xdr:colOff>
      <xdr:row>10</xdr:row>
      <xdr:rowOff>0</xdr:rowOff>
    </xdr:from>
    <xdr:to>
      <xdr:col>13</xdr:col>
      <xdr:colOff>330</xdr:colOff>
      <xdr:row>20</xdr:row>
      <xdr:rowOff>149779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715E007-AE41-4CAF-883B-E5C2647AD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732" y="2028825"/>
          <a:ext cx="7796633" cy="225424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422662</xdr:colOff>
      <xdr:row>22</xdr:row>
      <xdr:rowOff>113293</xdr:rowOff>
    </xdr:from>
    <xdr:to>
      <xdr:col>13</xdr:col>
      <xdr:colOff>519368</xdr:colOff>
      <xdr:row>30</xdr:row>
      <xdr:rowOff>159318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0E111AF-823B-49E2-98A8-67E696DD6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887" y="4713868"/>
          <a:ext cx="8574516" cy="18821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146517</xdr:colOff>
      <xdr:row>45</xdr:row>
      <xdr:rowOff>140805</xdr:rowOff>
    </xdr:from>
    <xdr:to>
      <xdr:col>14</xdr:col>
      <xdr:colOff>200244</xdr:colOff>
      <xdr:row>51</xdr:row>
      <xdr:rowOff>161361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952F961-B3B9-4FA8-A28A-A522A391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742" y="7856055"/>
          <a:ext cx="9217337" cy="138207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159319</xdr:colOff>
      <xdr:row>63</xdr:row>
      <xdr:rowOff>89646</xdr:rowOff>
    </xdr:from>
    <xdr:to>
      <xdr:col>11</xdr:col>
      <xdr:colOff>677311</xdr:colOff>
      <xdr:row>72</xdr:row>
      <xdr:rowOff>145322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C77A710-9108-48FD-96F7-AA12AB51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4344" y="11748246"/>
          <a:ext cx="6850996" cy="18559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173294</xdr:colOff>
      <xdr:row>55</xdr:row>
      <xdr:rowOff>127651</xdr:rowOff>
    </xdr:from>
    <xdr:to>
      <xdr:col>13</xdr:col>
      <xdr:colOff>653838</xdr:colOff>
      <xdr:row>60</xdr:row>
      <xdr:rowOff>171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9A7E3862-9E45-4E20-87E3-6500A7CB0A04}"/>
            </a:ext>
          </a:extLst>
        </xdr:cNvPr>
        <xdr:cNvGrpSpPr/>
      </xdr:nvGrpSpPr>
      <xdr:grpSpPr>
        <a:xfrm>
          <a:off x="2268794" y="11916239"/>
          <a:ext cx="8279838" cy="914667"/>
          <a:chOff x="1884384" y="13426110"/>
          <a:chExt cx="7359007" cy="1051891"/>
        </a:xfrm>
      </xdr:grpSpPr>
      <xdr:pic>
        <xdr:nvPicPr>
          <xdr:cNvPr id="8" name="圖片 7">
            <a:extLst>
              <a:ext uri="{FF2B5EF4-FFF2-40B4-BE49-F238E27FC236}">
                <a16:creationId xmlns:a16="http://schemas.microsoft.com/office/drawing/2014/main" id="{383A221C-D03C-4791-9045-A61905E281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884384" y="13483781"/>
            <a:ext cx="7359007" cy="86169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60B3168-9F65-4953-9F04-DB603789BEE6}"/>
              </a:ext>
            </a:extLst>
          </xdr:cNvPr>
          <xdr:cNvSpPr/>
        </xdr:nvSpPr>
        <xdr:spPr>
          <a:xfrm>
            <a:off x="8299174" y="13426110"/>
            <a:ext cx="223631" cy="10518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681756</xdr:colOff>
      <xdr:row>40</xdr:row>
      <xdr:rowOff>66260</xdr:rowOff>
    </xdr:from>
    <xdr:to>
      <xdr:col>13</xdr:col>
      <xdr:colOff>535884</xdr:colOff>
      <xdr:row>46</xdr:row>
      <xdr:rowOff>33131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84BF4F87-5F5F-449F-A59A-48B68E87248B}"/>
            </a:ext>
          </a:extLst>
        </xdr:cNvPr>
        <xdr:cNvGrpSpPr/>
      </xdr:nvGrpSpPr>
      <xdr:grpSpPr>
        <a:xfrm>
          <a:off x="2093697" y="8638760"/>
          <a:ext cx="8336981" cy="1210724"/>
          <a:chOff x="2056669" y="6783456"/>
          <a:chExt cx="7416150" cy="1333501"/>
        </a:xfrm>
      </xdr:grpSpPr>
      <xdr:pic>
        <xdr:nvPicPr>
          <xdr:cNvPr id="11" name="圖片 10">
            <a:extLst>
              <a:ext uri="{FF2B5EF4-FFF2-40B4-BE49-F238E27FC236}">
                <a16:creationId xmlns:a16="http://schemas.microsoft.com/office/drawing/2014/main" id="{15A774DC-500A-4984-B38A-9731B716F3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056669" y="6973957"/>
            <a:ext cx="7416150" cy="95569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FC8EEC1C-0D1F-41B2-8241-81A395B41818}"/>
              </a:ext>
            </a:extLst>
          </xdr:cNvPr>
          <xdr:cNvSpPr/>
        </xdr:nvSpPr>
        <xdr:spPr>
          <a:xfrm>
            <a:off x="8456544" y="6783456"/>
            <a:ext cx="306457" cy="13335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showGridLines="0" workbookViewId="0">
      <selection activeCell="N4" sqref="N4:N10"/>
    </sheetView>
  </sheetViews>
  <sheetFormatPr defaultRowHeight="16.5"/>
  <cols>
    <col min="1" max="1" width="9.375" customWidth="1"/>
    <col min="2" max="3" width="11.625" style="1" customWidth="1"/>
    <col min="4" max="11" width="6.625" customWidth="1"/>
    <col min="12" max="12" width="1.375" customWidth="1"/>
    <col min="13" max="13" width="9.375" customWidth="1"/>
    <col min="14" max="15" width="11.625" style="1" customWidth="1"/>
    <col min="16" max="23" width="6.625" customWidth="1"/>
  </cols>
  <sheetData>
    <row r="1" spans="1:23" ht="25.5">
      <c r="A1" s="86" t="s">
        <v>6</v>
      </c>
      <c r="B1" s="86"/>
      <c r="C1" s="86"/>
      <c r="D1" s="86"/>
      <c r="E1" s="86"/>
      <c r="F1" s="86"/>
      <c r="G1" s="86"/>
      <c r="H1" s="86"/>
      <c r="I1" s="86"/>
      <c r="J1" s="86"/>
      <c r="K1" s="86"/>
      <c r="M1" s="86" t="s">
        <v>8</v>
      </c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7" customHeight="1">
      <c r="A2" s="12" t="s">
        <v>3</v>
      </c>
      <c r="B2" s="11">
        <v>15</v>
      </c>
      <c r="C2" s="7"/>
      <c r="D2" s="8"/>
      <c r="E2" s="8"/>
      <c r="F2" s="8"/>
      <c r="G2" s="8"/>
      <c r="H2" s="8"/>
      <c r="I2" s="8"/>
      <c r="J2" s="9" t="s">
        <v>4</v>
      </c>
      <c r="K2" s="10" t="s">
        <v>0</v>
      </c>
      <c r="M2" s="12" t="s">
        <v>3</v>
      </c>
      <c r="N2" s="13">
        <f>B2</f>
        <v>15</v>
      </c>
      <c r="O2" s="7"/>
      <c r="P2" s="8"/>
      <c r="Q2" s="8"/>
      <c r="R2" s="8"/>
      <c r="S2" s="8"/>
      <c r="T2" s="8"/>
      <c r="U2" s="8"/>
      <c r="V2" s="9" t="s">
        <v>4</v>
      </c>
      <c r="W2" s="10" t="s">
        <v>0</v>
      </c>
    </row>
    <row r="3" spans="1:23" ht="34.5">
      <c r="A3" s="2" t="s">
        <v>5</v>
      </c>
      <c r="B3" s="3" t="s">
        <v>2</v>
      </c>
      <c r="C3" s="3" t="s">
        <v>1</v>
      </c>
      <c r="D3" s="4">
        <v>10</v>
      </c>
      <c r="E3" s="4">
        <v>13</v>
      </c>
      <c r="F3" s="4">
        <v>16</v>
      </c>
      <c r="G3" s="4">
        <v>19</v>
      </c>
      <c r="H3" s="4">
        <v>22</v>
      </c>
      <c r="I3" s="4">
        <v>25</v>
      </c>
      <c r="J3" s="4">
        <v>29</v>
      </c>
      <c r="K3" s="4">
        <v>32</v>
      </c>
      <c r="M3" s="2" t="s">
        <v>5</v>
      </c>
      <c r="N3" s="3" t="s">
        <v>2</v>
      </c>
      <c r="O3" s="3" t="s">
        <v>1</v>
      </c>
      <c r="P3" s="4">
        <v>10</v>
      </c>
      <c r="Q3" s="4">
        <v>13</v>
      </c>
      <c r="R3" s="4">
        <v>16</v>
      </c>
      <c r="S3" s="4">
        <v>19</v>
      </c>
      <c r="T3" s="4">
        <v>22</v>
      </c>
      <c r="U3" s="4">
        <v>25</v>
      </c>
      <c r="V3" s="4">
        <v>29</v>
      </c>
      <c r="W3" s="4">
        <v>32</v>
      </c>
    </row>
    <row r="4" spans="1:23">
      <c r="A4" s="87">
        <v>7.5</v>
      </c>
      <c r="B4" s="84">
        <v>2800</v>
      </c>
      <c r="C4" s="5">
        <v>210</v>
      </c>
      <c r="D4" s="6">
        <f t="shared" ref="D4:K4" si="0">ROUNDUP(MAX(IF(D$3&lt;22,0.8*0.28*$B$4/$C4^0.5*(D$3/10)*MIN(1,MAX(0.4,(D$3/10/(D$3/10/2+MIN($A$4,($B$2-D$3/10)/2))))),0.28*$B$4/$C4^0.5*(D$3/10)*MIN(1,MAX(0.4,(D$3/10/(D$3/10/2+MIN($A$4,($B$2-D$3/10)/2)))))),30),0)</f>
        <v>30</v>
      </c>
      <c r="E4" s="6">
        <f t="shared" si="0"/>
        <v>30</v>
      </c>
      <c r="F4" s="6">
        <f t="shared" si="0"/>
        <v>30</v>
      </c>
      <c r="G4" s="6">
        <f t="shared" si="0"/>
        <v>33</v>
      </c>
      <c r="H4" s="6">
        <f t="shared" si="0"/>
        <v>48</v>
      </c>
      <c r="I4" s="6">
        <f t="shared" si="0"/>
        <v>55</v>
      </c>
      <c r="J4" s="6">
        <f t="shared" si="0"/>
        <v>63</v>
      </c>
      <c r="K4" s="6">
        <f t="shared" si="0"/>
        <v>74</v>
      </c>
      <c r="M4" s="85">
        <f>A4</f>
        <v>7.5</v>
      </c>
      <c r="N4" s="84">
        <v>2800</v>
      </c>
      <c r="O4" s="5">
        <v>210</v>
      </c>
      <c r="P4" s="6">
        <f>D23</f>
        <v>30</v>
      </c>
      <c r="Q4" s="6">
        <f t="shared" ref="Q4:W4" si="1">E23</f>
        <v>30</v>
      </c>
      <c r="R4" s="6">
        <f t="shared" si="1"/>
        <v>37</v>
      </c>
      <c r="S4" s="6">
        <f t="shared" si="1"/>
        <v>43</v>
      </c>
      <c r="T4" s="6">
        <f t="shared" si="1"/>
        <v>62</v>
      </c>
      <c r="U4" s="6">
        <f t="shared" si="1"/>
        <v>71</v>
      </c>
      <c r="V4" s="6">
        <f t="shared" si="1"/>
        <v>82</v>
      </c>
      <c r="W4" s="6">
        <f t="shared" si="1"/>
        <v>97</v>
      </c>
    </row>
    <row r="5" spans="1:23">
      <c r="A5" s="87"/>
      <c r="B5" s="84"/>
      <c r="C5" s="5">
        <v>245</v>
      </c>
      <c r="D5" s="6">
        <f t="shared" ref="D5:K10" si="2">ROUNDUP(MAX(IF(D$3&lt;22,0.8*0.28*$B$4/$C5^0.5*(D$3/10)*MIN(1,MAX(0.4,(D$3/10/(D$3/10/2+MIN($A$4,($B$2-D$3/10)/2))))),0.28*$B$4/$C5^0.5*(D$3/10)*MIN(1,MAX(0.4,(D$3/10/(D$3/10/2+MIN($A$4,($B$2-D$3/10)/2)))))),30),0)</f>
        <v>30</v>
      </c>
      <c r="E5" s="6">
        <f t="shared" si="2"/>
        <v>30</v>
      </c>
      <c r="F5" s="6">
        <f t="shared" si="2"/>
        <v>30</v>
      </c>
      <c r="G5" s="6">
        <f t="shared" si="2"/>
        <v>31</v>
      </c>
      <c r="H5" s="6">
        <f t="shared" si="2"/>
        <v>45</v>
      </c>
      <c r="I5" s="6">
        <f t="shared" si="2"/>
        <v>51</v>
      </c>
      <c r="J5" s="6">
        <f t="shared" si="2"/>
        <v>59</v>
      </c>
      <c r="K5" s="6">
        <f t="shared" si="2"/>
        <v>69</v>
      </c>
      <c r="M5" s="85"/>
      <c r="N5" s="84"/>
      <c r="O5" s="5">
        <v>245</v>
      </c>
      <c r="P5" s="6">
        <f t="shared" ref="P5:P17" si="3">D24</f>
        <v>30</v>
      </c>
      <c r="Q5" s="6">
        <f t="shared" ref="Q5:Q17" si="4">E24</f>
        <v>30</v>
      </c>
      <c r="R5" s="6">
        <f t="shared" ref="R5:R17" si="5">F24</f>
        <v>34</v>
      </c>
      <c r="S5" s="6">
        <f t="shared" ref="S5:S17" si="6">G24</f>
        <v>40</v>
      </c>
      <c r="T5" s="6">
        <f t="shared" ref="T5:T17" si="7">H24</f>
        <v>58</v>
      </c>
      <c r="U5" s="6">
        <f t="shared" ref="U5:U17" si="8">I24</f>
        <v>66</v>
      </c>
      <c r="V5" s="6">
        <f t="shared" ref="V5:V17" si="9">J24</f>
        <v>76</v>
      </c>
      <c r="W5" s="6">
        <f t="shared" ref="W5:W17" si="10">K24</f>
        <v>89</v>
      </c>
    </row>
    <row r="6" spans="1:23">
      <c r="A6" s="87"/>
      <c r="B6" s="84"/>
      <c r="C6" s="5">
        <v>280</v>
      </c>
      <c r="D6" s="6">
        <f t="shared" si="2"/>
        <v>30</v>
      </c>
      <c r="E6" s="6">
        <f t="shared" si="2"/>
        <v>30</v>
      </c>
      <c r="F6" s="6">
        <f t="shared" si="2"/>
        <v>30</v>
      </c>
      <c r="G6" s="6">
        <f t="shared" si="2"/>
        <v>30</v>
      </c>
      <c r="H6" s="6">
        <f t="shared" si="2"/>
        <v>42</v>
      </c>
      <c r="I6" s="6">
        <f t="shared" si="2"/>
        <v>47</v>
      </c>
      <c r="J6" s="6">
        <f t="shared" si="2"/>
        <v>55</v>
      </c>
      <c r="K6" s="6">
        <f t="shared" si="2"/>
        <v>64</v>
      </c>
      <c r="M6" s="85"/>
      <c r="N6" s="84"/>
      <c r="O6" s="5">
        <v>280</v>
      </c>
      <c r="P6" s="6">
        <f t="shared" si="3"/>
        <v>30</v>
      </c>
      <c r="Q6" s="6">
        <f t="shared" si="4"/>
        <v>30</v>
      </c>
      <c r="R6" s="6">
        <f t="shared" si="5"/>
        <v>32</v>
      </c>
      <c r="S6" s="6">
        <f t="shared" si="6"/>
        <v>38</v>
      </c>
      <c r="T6" s="6">
        <f t="shared" si="7"/>
        <v>54</v>
      </c>
      <c r="U6" s="6">
        <f t="shared" si="8"/>
        <v>61</v>
      </c>
      <c r="V6" s="6">
        <f t="shared" si="9"/>
        <v>71</v>
      </c>
      <c r="W6" s="6">
        <f t="shared" si="10"/>
        <v>84</v>
      </c>
    </row>
    <row r="7" spans="1:23">
      <c r="A7" s="87"/>
      <c r="B7" s="84"/>
      <c r="C7" s="5">
        <v>350</v>
      </c>
      <c r="D7" s="6">
        <f t="shared" si="2"/>
        <v>30</v>
      </c>
      <c r="E7" s="6">
        <f t="shared" si="2"/>
        <v>30</v>
      </c>
      <c r="F7" s="6">
        <f t="shared" si="2"/>
        <v>30</v>
      </c>
      <c r="G7" s="6">
        <f t="shared" si="2"/>
        <v>30</v>
      </c>
      <c r="H7" s="6">
        <f t="shared" si="2"/>
        <v>37</v>
      </c>
      <c r="I7" s="6">
        <f t="shared" si="2"/>
        <v>42</v>
      </c>
      <c r="J7" s="6">
        <f t="shared" si="2"/>
        <v>49</v>
      </c>
      <c r="K7" s="6">
        <f t="shared" si="2"/>
        <v>58</v>
      </c>
      <c r="M7" s="85"/>
      <c r="N7" s="84"/>
      <c r="O7" s="5">
        <v>350</v>
      </c>
      <c r="P7" s="6">
        <f t="shared" si="3"/>
        <v>30</v>
      </c>
      <c r="Q7" s="6">
        <f t="shared" si="4"/>
        <v>30</v>
      </c>
      <c r="R7" s="6">
        <f t="shared" si="5"/>
        <v>30</v>
      </c>
      <c r="S7" s="6">
        <f t="shared" si="6"/>
        <v>34</v>
      </c>
      <c r="T7" s="6">
        <f t="shared" si="7"/>
        <v>48</v>
      </c>
      <c r="U7" s="6">
        <f t="shared" si="8"/>
        <v>55</v>
      </c>
      <c r="V7" s="6">
        <f t="shared" si="9"/>
        <v>64</v>
      </c>
      <c r="W7" s="6">
        <f t="shared" si="10"/>
        <v>75</v>
      </c>
    </row>
    <row r="8" spans="1:23">
      <c r="A8" s="87"/>
      <c r="B8" s="84"/>
      <c r="C8" s="5">
        <v>420</v>
      </c>
      <c r="D8" s="6">
        <f t="shared" si="2"/>
        <v>30</v>
      </c>
      <c r="E8" s="6">
        <f t="shared" si="2"/>
        <v>30</v>
      </c>
      <c r="F8" s="6">
        <f t="shared" si="2"/>
        <v>30</v>
      </c>
      <c r="G8" s="6">
        <f t="shared" si="2"/>
        <v>30</v>
      </c>
      <c r="H8" s="6">
        <f t="shared" si="2"/>
        <v>34</v>
      </c>
      <c r="I8" s="6">
        <f t="shared" si="2"/>
        <v>39</v>
      </c>
      <c r="J8" s="6">
        <f t="shared" si="2"/>
        <v>45</v>
      </c>
      <c r="K8" s="6">
        <f t="shared" si="2"/>
        <v>53</v>
      </c>
      <c r="M8" s="85"/>
      <c r="N8" s="84"/>
      <c r="O8" s="5">
        <v>420</v>
      </c>
      <c r="P8" s="6">
        <f t="shared" si="3"/>
        <v>30</v>
      </c>
      <c r="Q8" s="6">
        <f t="shared" si="4"/>
        <v>30</v>
      </c>
      <c r="R8" s="6">
        <f t="shared" si="5"/>
        <v>30</v>
      </c>
      <c r="S8" s="6">
        <f t="shared" si="6"/>
        <v>31</v>
      </c>
      <c r="T8" s="6">
        <f t="shared" si="7"/>
        <v>44</v>
      </c>
      <c r="U8" s="6">
        <f t="shared" si="8"/>
        <v>50</v>
      </c>
      <c r="V8" s="6">
        <f t="shared" si="9"/>
        <v>58</v>
      </c>
      <c r="W8" s="6">
        <f t="shared" si="10"/>
        <v>68</v>
      </c>
    </row>
    <row r="9" spans="1:23">
      <c r="A9" s="87"/>
      <c r="B9" s="84"/>
      <c r="C9" s="5">
        <v>490</v>
      </c>
      <c r="D9" s="6">
        <f t="shared" si="2"/>
        <v>30</v>
      </c>
      <c r="E9" s="6">
        <f t="shared" si="2"/>
        <v>30</v>
      </c>
      <c r="F9" s="6">
        <f t="shared" si="2"/>
        <v>30</v>
      </c>
      <c r="G9" s="6">
        <f t="shared" si="2"/>
        <v>30</v>
      </c>
      <c r="H9" s="6">
        <f t="shared" si="2"/>
        <v>32</v>
      </c>
      <c r="I9" s="6">
        <f t="shared" si="2"/>
        <v>36</v>
      </c>
      <c r="J9" s="6">
        <f t="shared" si="2"/>
        <v>42</v>
      </c>
      <c r="K9" s="6">
        <f t="shared" si="2"/>
        <v>49</v>
      </c>
      <c r="M9" s="85"/>
      <c r="N9" s="84"/>
      <c r="O9" s="5">
        <v>490</v>
      </c>
      <c r="P9" s="6">
        <f t="shared" si="3"/>
        <v>30</v>
      </c>
      <c r="Q9" s="6">
        <f t="shared" si="4"/>
        <v>30</v>
      </c>
      <c r="R9" s="6">
        <f t="shared" si="5"/>
        <v>30</v>
      </c>
      <c r="S9" s="6">
        <f t="shared" si="6"/>
        <v>30</v>
      </c>
      <c r="T9" s="6">
        <f t="shared" si="7"/>
        <v>41</v>
      </c>
      <c r="U9" s="6">
        <f t="shared" si="8"/>
        <v>47</v>
      </c>
      <c r="V9" s="6">
        <f t="shared" si="9"/>
        <v>54</v>
      </c>
      <c r="W9" s="6">
        <f t="shared" si="10"/>
        <v>63</v>
      </c>
    </row>
    <row r="10" spans="1:23">
      <c r="A10" s="87"/>
      <c r="B10" s="84"/>
      <c r="C10" s="5">
        <v>560</v>
      </c>
      <c r="D10" s="6">
        <f t="shared" si="2"/>
        <v>30</v>
      </c>
      <c r="E10" s="6">
        <f t="shared" si="2"/>
        <v>30</v>
      </c>
      <c r="F10" s="6">
        <f t="shared" si="2"/>
        <v>30</v>
      </c>
      <c r="G10" s="6">
        <f t="shared" si="2"/>
        <v>30</v>
      </c>
      <c r="H10" s="6">
        <f t="shared" si="2"/>
        <v>30</v>
      </c>
      <c r="I10" s="6">
        <f t="shared" si="2"/>
        <v>34</v>
      </c>
      <c r="J10" s="6">
        <f t="shared" si="2"/>
        <v>39</v>
      </c>
      <c r="K10" s="6">
        <f t="shared" si="2"/>
        <v>46</v>
      </c>
      <c r="M10" s="85"/>
      <c r="N10" s="84"/>
      <c r="O10" s="5">
        <v>560</v>
      </c>
      <c r="P10" s="6">
        <f t="shared" si="3"/>
        <v>30</v>
      </c>
      <c r="Q10" s="6">
        <f t="shared" si="4"/>
        <v>30</v>
      </c>
      <c r="R10" s="6">
        <f t="shared" si="5"/>
        <v>30</v>
      </c>
      <c r="S10" s="6">
        <f t="shared" si="6"/>
        <v>30</v>
      </c>
      <c r="T10" s="6">
        <f t="shared" si="7"/>
        <v>38</v>
      </c>
      <c r="U10" s="6">
        <f t="shared" si="8"/>
        <v>44</v>
      </c>
      <c r="V10" s="6">
        <f t="shared" si="9"/>
        <v>50</v>
      </c>
      <c r="W10" s="6">
        <f t="shared" si="10"/>
        <v>59</v>
      </c>
    </row>
    <row r="11" spans="1:23">
      <c r="A11" s="87"/>
      <c r="B11" s="84">
        <v>4200</v>
      </c>
      <c r="C11" s="5">
        <v>210</v>
      </c>
      <c r="D11" s="6">
        <f t="shared" ref="D11:K11" si="11">ROUNDUP(MAX(IF(D$3&lt;22,0.8*0.28*$B$11/$C11^0.5*(D$3/10)*MIN(1,MAX(0.4,(D$3/10/(D$3/10/2+MIN($A$4,($B$2-D$3/10)/2))))),0.28*$B$11/$C11^0.5*(D$3/10)*MIN(1,MAX(0.4,(D$3/10/(D$3/10/2+MIN($A$4,($B$2-D$3/10)/2)))))),30),0)</f>
        <v>30</v>
      </c>
      <c r="E11" s="6">
        <f t="shared" si="11"/>
        <v>34</v>
      </c>
      <c r="F11" s="6">
        <f t="shared" si="11"/>
        <v>42</v>
      </c>
      <c r="G11" s="6">
        <f t="shared" si="11"/>
        <v>50</v>
      </c>
      <c r="H11" s="6">
        <f t="shared" si="11"/>
        <v>72</v>
      </c>
      <c r="I11" s="6">
        <f t="shared" si="11"/>
        <v>82</v>
      </c>
      <c r="J11" s="6">
        <f t="shared" si="11"/>
        <v>95</v>
      </c>
      <c r="K11" s="6">
        <f t="shared" si="11"/>
        <v>111</v>
      </c>
      <c r="M11" s="85"/>
      <c r="N11" s="84">
        <v>4200</v>
      </c>
      <c r="O11" s="5">
        <v>210</v>
      </c>
      <c r="P11" s="6">
        <f t="shared" si="3"/>
        <v>34</v>
      </c>
      <c r="Q11" s="6">
        <f t="shared" si="4"/>
        <v>44</v>
      </c>
      <c r="R11" s="6">
        <f t="shared" si="5"/>
        <v>55</v>
      </c>
      <c r="S11" s="6">
        <f t="shared" si="6"/>
        <v>65</v>
      </c>
      <c r="T11" s="6">
        <f t="shared" si="7"/>
        <v>93</v>
      </c>
      <c r="U11" s="6">
        <f t="shared" si="8"/>
        <v>106</v>
      </c>
      <c r="V11" s="6">
        <f t="shared" si="9"/>
        <v>123</v>
      </c>
      <c r="W11" s="6">
        <f t="shared" si="10"/>
        <v>145</v>
      </c>
    </row>
    <row r="12" spans="1:23">
      <c r="A12" s="87"/>
      <c r="B12" s="84"/>
      <c r="C12" s="5">
        <v>245</v>
      </c>
      <c r="D12" s="6">
        <f t="shared" ref="D12:K17" si="12">ROUNDUP(MAX(IF(D$3&lt;22,0.8*0.28*$B$11/$C12^0.5*(D$3/10)*MIN(1,MAX(0.4,(D$3/10/(D$3/10/2+MIN($A$4,($B$2-D$3/10)/2))))),0.28*$B$11/$C12^0.5*(D$3/10)*MIN(1,MAX(0.4,(D$3/10/(D$3/10/2+MIN($A$4,($B$2-D$3/10)/2)))))),30),0)</f>
        <v>30</v>
      </c>
      <c r="E12" s="6">
        <f t="shared" si="12"/>
        <v>32</v>
      </c>
      <c r="F12" s="6">
        <f t="shared" si="12"/>
        <v>39</v>
      </c>
      <c r="G12" s="6">
        <f t="shared" si="12"/>
        <v>46</v>
      </c>
      <c r="H12" s="6">
        <f t="shared" si="12"/>
        <v>67</v>
      </c>
      <c r="I12" s="6">
        <f t="shared" si="12"/>
        <v>76</v>
      </c>
      <c r="J12" s="6">
        <f t="shared" si="12"/>
        <v>88</v>
      </c>
      <c r="K12" s="6">
        <f t="shared" si="12"/>
        <v>103</v>
      </c>
      <c r="M12" s="85"/>
      <c r="N12" s="84"/>
      <c r="O12" s="5">
        <v>245</v>
      </c>
      <c r="P12" s="6">
        <f t="shared" si="3"/>
        <v>32</v>
      </c>
      <c r="Q12" s="6">
        <f t="shared" si="4"/>
        <v>41</v>
      </c>
      <c r="R12" s="6">
        <f t="shared" si="5"/>
        <v>51</v>
      </c>
      <c r="S12" s="6">
        <f t="shared" si="6"/>
        <v>60</v>
      </c>
      <c r="T12" s="6">
        <f t="shared" si="7"/>
        <v>86</v>
      </c>
      <c r="U12" s="6">
        <f t="shared" si="8"/>
        <v>98</v>
      </c>
      <c r="V12" s="6">
        <f t="shared" si="9"/>
        <v>114</v>
      </c>
      <c r="W12" s="6">
        <f t="shared" si="10"/>
        <v>134</v>
      </c>
    </row>
    <row r="13" spans="1:23">
      <c r="A13" s="87"/>
      <c r="B13" s="84"/>
      <c r="C13" s="5">
        <v>280</v>
      </c>
      <c r="D13" s="6">
        <f t="shared" si="12"/>
        <v>30</v>
      </c>
      <c r="E13" s="6">
        <f t="shared" si="12"/>
        <v>30</v>
      </c>
      <c r="F13" s="6">
        <f t="shared" si="12"/>
        <v>36</v>
      </c>
      <c r="G13" s="6">
        <f t="shared" si="12"/>
        <v>43</v>
      </c>
      <c r="H13" s="6">
        <f t="shared" si="12"/>
        <v>62</v>
      </c>
      <c r="I13" s="6">
        <f t="shared" si="12"/>
        <v>71</v>
      </c>
      <c r="J13" s="6">
        <f t="shared" si="12"/>
        <v>82</v>
      </c>
      <c r="K13" s="6">
        <f t="shared" si="12"/>
        <v>96</v>
      </c>
      <c r="M13" s="85"/>
      <c r="N13" s="84"/>
      <c r="O13" s="5">
        <v>280</v>
      </c>
      <c r="P13" s="6">
        <f t="shared" si="3"/>
        <v>30</v>
      </c>
      <c r="Q13" s="6">
        <f t="shared" si="4"/>
        <v>39</v>
      </c>
      <c r="R13" s="6">
        <f t="shared" si="5"/>
        <v>47</v>
      </c>
      <c r="S13" s="6">
        <f t="shared" si="6"/>
        <v>56</v>
      </c>
      <c r="T13" s="6">
        <f t="shared" si="7"/>
        <v>81</v>
      </c>
      <c r="U13" s="44">
        <f t="shared" si="8"/>
        <v>92</v>
      </c>
      <c r="V13" s="6">
        <f t="shared" si="9"/>
        <v>106</v>
      </c>
      <c r="W13" s="6">
        <f t="shared" si="10"/>
        <v>125</v>
      </c>
    </row>
    <row r="14" spans="1:23">
      <c r="A14" s="87"/>
      <c r="B14" s="84"/>
      <c r="C14" s="5">
        <v>350</v>
      </c>
      <c r="D14" s="6">
        <f t="shared" si="12"/>
        <v>30</v>
      </c>
      <c r="E14" s="6">
        <f t="shared" si="12"/>
        <v>30</v>
      </c>
      <c r="F14" s="6">
        <f t="shared" si="12"/>
        <v>33</v>
      </c>
      <c r="G14" s="6">
        <f t="shared" si="12"/>
        <v>39</v>
      </c>
      <c r="H14" s="6">
        <f t="shared" si="12"/>
        <v>56</v>
      </c>
      <c r="I14" s="6">
        <f t="shared" si="12"/>
        <v>63</v>
      </c>
      <c r="J14" s="6">
        <f t="shared" si="12"/>
        <v>73</v>
      </c>
      <c r="K14" s="6">
        <f t="shared" si="12"/>
        <v>86</v>
      </c>
      <c r="M14" s="85"/>
      <c r="N14" s="84"/>
      <c r="O14" s="5">
        <v>350</v>
      </c>
      <c r="P14" s="6">
        <f t="shared" si="3"/>
        <v>30</v>
      </c>
      <c r="Q14" s="6">
        <f t="shared" si="4"/>
        <v>34</v>
      </c>
      <c r="R14" s="6">
        <f t="shared" si="5"/>
        <v>42</v>
      </c>
      <c r="S14" s="6">
        <f t="shared" si="6"/>
        <v>50</v>
      </c>
      <c r="T14" s="6">
        <f t="shared" si="7"/>
        <v>72</v>
      </c>
      <c r="U14" s="6">
        <f t="shared" si="8"/>
        <v>82</v>
      </c>
      <c r="V14" s="6">
        <f t="shared" si="9"/>
        <v>95</v>
      </c>
      <c r="W14" s="6">
        <f t="shared" si="10"/>
        <v>112</v>
      </c>
    </row>
    <row r="15" spans="1:23">
      <c r="A15" s="87"/>
      <c r="B15" s="84"/>
      <c r="C15" s="5">
        <v>420</v>
      </c>
      <c r="D15" s="6">
        <f t="shared" si="12"/>
        <v>30</v>
      </c>
      <c r="E15" s="6">
        <f t="shared" si="12"/>
        <v>30</v>
      </c>
      <c r="F15" s="6">
        <f t="shared" si="12"/>
        <v>30</v>
      </c>
      <c r="G15" s="6">
        <f t="shared" si="12"/>
        <v>35</v>
      </c>
      <c r="H15" s="6">
        <f t="shared" si="12"/>
        <v>51</v>
      </c>
      <c r="I15" s="6">
        <f t="shared" si="12"/>
        <v>58</v>
      </c>
      <c r="J15" s="6">
        <f t="shared" si="12"/>
        <v>67</v>
      </c>
      <c r="K15" s="6">
        <f t="shared" si="12"/>
        <v>79</v>
      </c>
      <c r="M15" s="85"/>
      <c r="N15" s="84"/>
      <c r="O15" s="5">
        <v>420</v>
      </c>
      <c r="P15" s="6">
        <f t="shared" si="3"/>
        <v>30</v>
      </c>
      <c r="Q15" s="6">
        <f t="shared" si="4"/>
        <v>32</v>
      </c>
      <c r="R15" s="6">
        <f t="shared" si="5"/>
        <v>39</v>
      </c>
      <c r="S15" s="6">
        <f t="shared" si="6"/>
        <v>46</v>
      </c>
      <c r="T15" s="6">
        <f t="shared" si="7"/>
        <v>66</v>
      </c>
      <c r="U15" s="6">
        <f t="shared" si="8"/>
        <v>75</v>
      </c>
      <c r="V15" s="6">
        <f t="shared" si="9"/>
        <v>87</v>
      </c>
      <c r="W15" s="6">
        <f t="shared" si="10"/>
        <v>102</v>
      </c>
    </row>
    <row r="16" spans="1:23">
      <c r="A16" s="87"/>
      <c r="B16" s="84"/>
      <c r="C16" s="5">
        <v>490</v>
      </c>
      <c r="D16" s="6">
        <f t="shared" si="12"/>
        <v>30</v>
      </c>
      <c r="E16" s="6">
        <f t="shared" si="12"/>
        <v>30</v>
      </c>
      <c r="F16" s="6">
        <f t="shared" si="12"/>
        <v>30</v>
      </c>
      <c r="G16" s="6">
        <f t="shared" si="12"/>
        <v>33</v>
      </c>
      <c r="H16" s="6">
        <f t="shared" si="12"/>
        <v>47</v>
      </c>
      <c r="I16" s="6">
        <f t="shared" si="12"/>
        <v>54</v>
      </c>
      <c r="J16" s="6">
        <f t="shared" si="12"/>
        <v>62</v>
      </c>
      <c r="K16" s="6">
        <f t="shared" si="12"/>
        <v>73</v>
      </c>
      <c r="M16" s="85"/>
      <c r="N16" s="84"/>
      <c r="O16" s="5">
        <v>490</v>
      </c>
      <c r="P16" s="6">
        <f t="shared" si="3"/>
        <v>30</v>
      </c>
      <c r="Q16" s="6">
        <f t="shared" si="4"/>
        <v>30</v>
      </c>
      <c r="R16" s="6">
        <f t="shared" si="5"/>
        <v>36</v>
      </c>
      <c r="S16" s="6">
        <f t="shared" si="6"/>
        <v>42</v>
      </c>
      <c r="T16" s="6">
        <f t="shared" si="7"/>
        <v>61</v>
      </c>
      <c r="U16" s="6">
        <f t="shared" si="8"/>
        <v>70</v>
      </c>
      <c r="V16" s="6">
        <f t="shared" si="9"/>
        <v>81</v>
      </c>
      <c r="W16" s="6">
        <f t="shared" si="10"/>
        <v>95</v>
      </c>
    </row>
    <row r="17" spans="1:23">
      <c r="A17" s="87"/>
      <c r="B17" s="84"/>
      <c r="C17" s="5">
        <v>560</v>
      </c>
      <c r="D17" s="6">
        <f t="shared" si="12"/>
        <v>30</v>
      </c>
      <c r="E17" s="6">
        <f t="shared" si="12"/>
        <v>30</v>
      </c>
      <c r="F17" s="6">
        <f t="shared" si="12"/>
        <v>30</v>
      </c>
      <c r="G17" s="6">
        <f t="shared" si="12"/>
        <v>31</v>
      </c>
      <c r="H17" s="6">
        <f t="shared" si="12"/>
        <v>44</v>
      </c>
      <c r="I17" s="6">
        <f t="shared" si="12"/>
        <v>50</v>
      </c>
      <c r="J17" s="6">
        <f t="shared" si="12"/>
        <v>58</v>
      </c>
      <c r="K17" s="6">
        <f t="shared" si="12"/>
        <v>68</v>
      </c>
      <c r="M17" s="85"/>
      <c r="N17" s="84"/>
      <c r="O17" s="5">
        <v>560</v>
      </c>
      <c r="P17" s="6">
        <f t="shared" si="3"/>
        <v>30</v>
      </c>
      <c r="Q17" s="6">
        <f t="shared" si="4"/>
        <v>30</v>
      </c>
      <c r="R17" s="6">
        <f t="shared" si="5"/>
        <v>34</v>
      </c>
      <c r="S17" s="6">
        <f t="shared" si="6"/>
        <v>40</v>
      </c>
      <c r="T17" s="6">
        <f t="shared" si="7"/>
        <v>57</v>
      </c>
      <c r="U17" s="6">
        <f t="shared" si="8"/>
        <v>65</v>
      </c>
      <c r="V17" s="6">
        <f t="shared" si="9"/>
        <v>75</v>
      </c>
      <c r="W17" s="6">
        <f t="shared" si="10"/>
        <v>89</v>
      </c>
    </row>
    <row r="19" spans="1:23">
      <c r="D19" s="1"/>
      <c r="E19" s="1"/>
      <c r="F19" s="1"/>
      <c r="G19" s="1"/>
      <c r="H19" s="1"/>
      <c r="I19" s="1"/>
      <c r="J19" s="1"/>
      <c r="K19" s="1"/>
    </row>
    <row r="20" spans="1:23" ht="25.5">
      <c r="A20" s="86" t="s">
        <v>7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M20" s="86" t="s">
        <v>9</v>
      </c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spans="1:23" ht="27" customHeight="1">
      <c r="A21" s="12" t="s">
        <v>3</v>
      </c>
      <c r="B21" s="13">
        <f>B2</f>
        <v>15</v>
      </c>
      <c r="C21" s="7"/>
      <c r="D21" s="8"/>
      <c r="E21" s="8"/>
      <c r="F21" s="8"/>
      <c r="G21" s="8"/>
      <c r="H21" s="8"/>
      <c r="I21" s="8"/>
      <c r="J21" s="9" t="s">
        <v>4</v>
      </c>
      <c r="K21" s="10" t="s">
        <v>0</v>
      </c>
      <c r="M21" s="12" t="s">
        <v>3</v>
      </c>
      <c r="N21" s="13">
        <f>N2</f>
        <v>15</v>
      </c>
      <c r="O21" s="7"/>
      <c r="P21" s="8"/>
      <c r="Q21" s="8"/>
      <c r="R21" s="8"/>
      <c r="S21" s="8"/>
      <c r="T21" s="8"/>
      <c r="U21" s="8"/>
      <c r="V21" s="9" t="s">
        <v>4</v>
      </c>
      <c r="W21" s="10" t="s">
        <v>0</v>
      </c>
    </row>
    <row r="22" spans="1:23" ht="34.5">
      <c r="A22" s="2" t="s">
        <v>5</v>
      </c>
      <c r="B22" s="3" t="s">
        <v>2</v>
      </c>
      <c r="C22" s="3" t="s">
        <v>1</v>
      </c>
      <c r="D22" s="4">
        <v>10</v>
      </c>
      <c r="E22" s="4">
        <v>13</v>
      </c>
      <c r="F22" s="4">
        <v>16</v>
      </c>
      <c r="G22" s="4">
        <v>19</v>
      </c>
      <c r="H22" s="4">
        <v>22</v>
      </c>
      <c r="I22" s="4">
        <v>25</v>
      </c>
      <c r="J22" s="4">
        <v>29</v>
      </c>
      <c r="K22" s="4">
        <v>32</v>
      </c>
      <c r="M22" s="2" t="s">
        <v>5</v>
      </c>
      <c r="N22" s="3" t="s">
        <v>2</v>
      </c>
      <c r="O22" s="3" t="s">
        <v>1</v>
      </c>
      <c r="P22" s="4">
        <v>10</v>
      </c>
      <c r="Q22" s="4">
        <v>13</v>
      </c>
      <c r="R22" s="4">
        <v>16</v>
      </c>
      <c r="S22" s="4">
        <v>19</v>
      </c>
      <c r="T22" s="4">
        <v>22</v>
      </c>
      <c r="U22" s="4">
        <v>25</v>
      </c>
      <c r="V22" s="4">
        <v>29</v>
      </c>
      <c r="W22" s="4">
        <v>32</v>
      </c>
    </row>
    <row r="23" spans="1:23">
      <c r="A23" s="85">
        <f>A4</f>
        <v>7.5</v>
      </c>
      <c r="B23" s="84">
        <v>2800</v>
      </c>
      <c r="C23" s="5">
        <v>210</v>
      </c>
      <c r="D23" s="6">
        <f>ROUNDUP(MAX(IF(D$3&lt;22,1.3*0.8*0.28*$B$4/$C23^0.5*(D$3/10)*MIN(1,MAX(0.4,(D$3/10/(D$3/10/2+MIN($A$4,($B$2-D$3/10)/2))))),1.3*0.28*$B$4/$C23^0.5*(D$3/10)*MIN(1,MAX(0.4,(D$3/10/(D$3/10/2+MIN($A$4,($B$2-D$3/10)/2)))))),30),0)</f>
        <v>30</v>
      </c>
      <c r="E23" s="6">
        <f t="shared" ref="E23:K29" si="13">ROUNDUP(MAX(IF(E$3&lt;22,1.3*0.8*0.28*$B$4/$C23^0.5*(E$3/10)*MIN(1,MAX(0.4,(E$3/10/(E$3/10/2+MIN($A$4,($B$2-E$3/10)/2))))),1.3*0.28*$B$4/$C23^0.5*(E$3/10)*MIN(1,MAX(0.4,(E$3/10/(E$3/10/2+MIN($A$4,($B$2-E$3/10)/2)))))),30),0)</f>
        <v>30</v>
      </c>
      <c r="F23" s="6">
        <f t="shared" si="13"/>
        <v>37</v>
      </c>
      <c r="G23" s="6">
        <f t="shared" si="13"/>
        <v>43</v>
      </c>
      <c r="H23" s="6">
        <f t="shared" si="13"/>
        <v>62</v>
      </c>
      <c r="I23" s="6">
        <f t="shared" si="13"/>
        <v>71</v>
      </c>
      <c r="J23" s="6">
        <f t="shared" si="13"/>
        <v>82</v>
      </c>
      <c r="K23" s="6">
        <f t="shared" si="13"/>
        <v>97</v>
      </c>
      <c r="M23" s="85">
        <f>M4</f>
        <v>7.5</v>
      </c>
      <c r="N23" s="84">
        <v>2800</v>
      </c>
      <c r="O23" s="5">
        <v>210</v>
      </c>
      <c r="P23" s="6">
        <f>ROUNDUP(MAX(IF(P$3&lt;22,1.3*1.3*0.8*0.28*$B$4/$C23^0.5*(P$3/10)*MIN(1,MAX(0.4,(P$3/10/(P$3/10/2+MIN($A$4,($B$2-P$3/10)/2))))),1.3*1.3*0.28*$B$4/$C23^0.5*(P$3/10)*MIN(1,MAX(0.4,(P$3/10/(P$3/10/2+MIN($A$4,($B$2-P$3/10)/2)))))),30),0)</f>
        <v>30</v>
      </c>
      <c r="Q23" s="6">
        <f t="shared" ref="Q23:W29" si="14">ROUNDUP(MAX(IF(Q$3&lt;22,1.3*1.3*0.8*0.28*$B$4/$C23^0.5*(Q$3/10)*MIN(1,MAX(0.4,(Q$3/10/(Q$3/10/2+MIN($A$4,($B$2-Q$3/10)/2))))),1.3*1.3*0.28*$B$4/$C23^0.5*(Q$3/10)*MIN(1,MAX(0.4,(Q$3/10/(Q$3/10/2+MIN($A$4,($B$2-Q$3/10)/2)))))),30),0)</f>
        <v>39</v>
      </c>
      <c r="R23" s="6">
        <f t="shared" si="14"/>
        <v>47</v>
      </c>
      <c r="S23" s="6">
        <f t="shared" si="14"/>
        <v>56</v>
      </c>
      <c r="T23" s="6">
        <f t="shared" si="14"/>
        <v>81</v>
      </c>
      <c r="U23" s="6">
        <f t="shared" si="14"/>
        <v>92</v>
      </c>
      <c r="V23" s="6">
        <f t="shared" si="14"/>
        <v>107</v>
      </c>
      <c r="W23" s="6">
        <f t="shared" si="14"/>
        <v>125</v>
      </c>
    </row>
    <row r="24" spans="1:23">
      <c r="A24" s="85"/>
      <c r="B24" s="84"/>
      <c r="C24" s="5">
        <v>245</v>
      </c>
      <c r="D24" s="6">
        <f t="shared" ref="D24:D29" si="15">ROUNDUP(MAX(IF(D$3&lt;22,1.3*0.8*0.28*$B$4/$C24^0.5*(D$3/10)*MIN(1,MAX(0.4,(D$3/10/(D$3/10/2+MIN($A$4,($B$2-D$3/10)/2))))),1.3*0.28*$B$4/$C24^0.5*(D$3/10)*MIN(1,MAX(0.4,(D$3/10/(D$3/10/2+MIN($A$4,($B$2-D$3/10)/2)))))),30),0)</f>
        <v>30</v>
      </c>
      <c r="E24" s="6">
        <f t="shared" si="13"/>
        <v>30</v>
      </c>
      <c r="F24" s="6">
        <f t="shared" si="13"/>
        <v>34</v>
      </c>
      <c r="G24" s="6">
        <f t="shared" si="13"/>
        <v>40</v>
      </c>
      <c r="H24" s="6">
        <f t="shared" si="13"/>
        <v>58</v>
      </c>
      <c r="I24" s="6">
        <f t="shared" si="13"/>
        <v>66</v>
      </c>
      <c r="J24" s="6">
        <f t="shared" si="13"/>
        <v>76</v>
      </c>
      <c r="K24" s="6">
        <f t="shared" si="13"/>
        <v>89</v>
      </c>
      <c r="M24" s="85"/>
      <c r="N24" s="84"/>
      <c r="O24" s="5">
        <v>245</v>
      </c>
      <c r="P24" s="6">
        <f t="shared" ref="P24:P29" si="16">ROUNDUP(MAX(IF(P$3&lt;22,1.3*1.3*0.8*0.28*$B$4/$C24^0.5*(P$3/10)*MIN(1,MAX(0.4,(P$3/10/(P$3/10/2+MIN($A$4,($B$2-P$3/10)/2))))),1.3*1.3*0.28*$B$4/$C24^0.5*(P$3/10)*MIN(1,MAX(0.4,(P$3/10/(P$3/10/2+MIN($A$4,($B$2-P$3/10)/2)))))),30),0)</f>
        <v>30</v>
      </c>
      <c r="Q24" s="6">
        <f t="shared" si="14"/>
        <v>36</v>
      </c>
      <c r="R24" s="6">
        <f t="shared" si="14"/>
        <v>44</v>
      </c>
      <c r="S24" s="6">
        <f t="shared" si="14"/>
        <v>52</v>
      </c>
      <c r="T24" s="6">
        <f t="shared" si="14"/>
        <v>75</v>
      </c>
      <c r="U24" s="6">
        <f t="shared" si="14"/>
        <v>85</v>
      </c>
      <c r="V24" s="6">
        <f t="shared" si="14"/>
        <v>99</v>
      </c>
      <c r="W24" s="6">
        <f t="shared" si="14"/>
        <v>116</v>
      </c>
    </row>
    <row r="25" spans="1:23">
      <c r="A25" s="85"/>
      <c r="B25" s="84"/>
      <c r="C25" s="5">
        <v>280</v>
      </c>
      <c r="D25" s="6">
        <f t="shared" si="15"/>
        <v>30</v>
      </c>
      <c r="E25" s="6">
        <f t="shared" si="13"/>
        <v>30</v>
      </c>
      <c r="F25" s="6">
        <f t="shared" si="13"/>
        <v>32</v>
      </c>
      <c r="G25" s="6">
        <f t="shared" si="13"/>
        <v>38</v>
      </c>
      <c r="H25" s="6">
        <f t="shared" si="13"/>
        <v>54</v>
      </c>
      <c r="I25" s="6">
        <f t="shared" si="13"/>
        <v>61</v>
      </c>
      <c r="J25" s="6">
        <f t="shared" si="13"/>
        <v>71</v>
      </c>
      <c r="K25" s="6">
        <f t="shared" si="13"/>
        <v>84</v>
      </c>
      <c r="M25" s="85"/>
      <c r="N25" s="84"/>
      <c r="O25" s="5">
        <v>280</v>
      </c>
      <c r="P25" s="6">
        <f t="shared" si="16"/>
        <v>30</v>
      </c>
      <c r="Q25" s="6">
        <f t="shared" si="14"/>
        <v>33</v>
      </c>
      <c r="R25" s="6">
        <f t="shared" si="14"/>
        <v>41</v>
      </c>
      <c r="S25" s="6">
        <f t="shared" si="14"/>
        <v>49</v>
      </c>
      <c r="T25" s="6">
        <f t="shared" si="14"/>
        <v>70</v>
      </c>
      <c r="U25" s="6">
        <f t="shared" si="14"/>
        <v>80</v>
      </c>
      <c r="V25" s="6">
        <f t="shared" si="14"/>
        <v>92</v>
      </c>
      <c r="W25" s="6">
        <f t="shared" si="14"/>
        <v>109</v>
      </c>
    </row>
    <row r="26" spans="1:23">
      <c r="A26" s="85"/>
      <c r="B26" s="84"/>
      <c r="C26" s="5">
        <v>350</v>
      </c>
      <c r="D26" s="6">
        <f t="shared" si="15"/>
        <v>30</v>
      </c>
      <c r="E26" s="6">
        <f t="shared" si="13"/>
        <v>30</v>
      </c>
      <c r="F26" s="6">
        <f t="shared" si="13"/>
        <v>30</v>
      </c>
      <c r="G26" s="6">
        <f t="shared" si="13"/>
        <v>34</v>
      </c>
      <c r="H26" s="6">
        <f t="shared" si="13"/>
        <v>48</v>
      </c>
      <c r="I26" s="6">
        <f t="shared" si="13"/>
        <v>55</v>
      </c>
      <c r="J26" s="6">
        <f t="shared" si="13"/>
        <v>64</v>
      </c>
      <c r="K26" s="6">
        <f t="shared" si="13"/>
        <v>75</v>
      </c>
      <c r="M26" s="85"/>
      <c r="N26" s="84"/>
      <c r="O26" s="5">
        <v>350</v>
      </c>
      <c r="P26" s="6">
        <f t="shared" si="16"/>
        <v>30</v>
      </c>
      <c r="Q26" s="6">
        <f t="shared" si="14"/>
        <v>30</v>
      </c>
      <c r="R26" s="6">
        <f t="shared" si="14"/>
        <v>37</v>
      </c>
      <c r="S26" s="6">
        <f t="shared" si="14"/>
        <v>44</v>
      </c>
      <c r="T26" s="6">
        <f t="shared" si="14"/>
        <v>63</v>
      </c>
      <c r="U26" s="6">
        <f t="shared" si="14"/>
        <v>71</v>
      </c>
      <c r="V26" s="6">
        <f t="shared" si="14"/>
        <v>83</v>
      </c>
      <c r="W26" s="6">
        <f t="shared" si="14"/>
        <v>97</v>
      </c>
    </row>
    <row r="27" spans="1:23">
      <c r="A27" s="85"/>
      <c r="B27" s="84"/>
      <c r="C27" s="5">
        <v>420</v>
      </c>
      <c r="D27" s="6">
        <f t="shared" si="15"/>
        <v>30</v>
      </c>
      <c r="E27" s="6">
        <f t="shared" si="13"/>
        <v>30</v>
      </c>
      <c r="F27" s="6">
        <f t="shared" si="13"/>
        <v>30</v>
      </c>
      <c r="G27" s="6">
        <f t="shared" si="13"/>
        <v>31</v>
      </c>
      <c r="H27" s="6">
        <f t="shared" si="13"/>
        <v>44</v>
      </c>
      <c r="I27" s="6">
        <f t="shared" si="13"/>
        <v>50</v>
      </c>
      <c r="J27" s="6">
        <f t="shared" si="13"/>
        <v>58</v>
      </c>
      <c r="K27" s="6">
        <f t="shared" si="13"/>
        <v>68</v>
      </c>
      <c r="M27" s="85"/>
      <c r="N27" s="84"/>
      <c r="O27" s="5">
        <v>420</v>
      </c>
      <c r="P27" s="6">
        <f t="shared" si="16"/>
        <v>30</v>
      </c>
      <c r="Q27" s="6">
        <f t="shared" si="14"/>
        <v>30</v>
      </c>
      <c r="R27" s="6">
        <f t="shared" si="14"/>
        <v>34</v>
      </c>
      <c r="S27" s="6">
        <f t="shared" si="14"/>
        <v>40</v>
      </c>
      <c r="T27" s="6">
        <f t="shared" si="14"/>
        <v>57</v>
      </c>
      <c r="U27" s="6">
        <f t="shared" si="14"/>
        <v>65</v>
      </c>
      <c r="V27" s="6">
        <f t="shared" si="14"/>
        <v>75</v>
      </c>
      <c r="W27" s="6">
        <f t="shared" si="14"/>
        <v>89</v>
      </c>
    </row>
    <row r="28" spans="1:23">
      <c r="A28" s="85"/>
      <c r="B28" s="84"/>
      <c r="C28" s="5">
        <v>490</v>
      </c>
      <c r="D28" s="6">
        <f t="shared" si="15"/>
        <v>30</v>
      </c>
      <c r="E28" s="6">
        <f t="shared" si="13"/>
        <v>30</v>
      </c>
      <c r="F28" s="6">
        <f t="shared" si="13"/>
        <v>30</v>
      </c>
      <c r="G28" s="6">
        <f t="shared" si="13"/>
        <v>30</v>
      </c>
      <c r="H28" s="6">
        <f t="shared" si="13"/>
        <v>41</v>
      </c>
      <c r="I28" s="6">
        <f t="shared" si="13"/>
        <v>47</v>
      </c>
      <c r="J28" s="6">
        <f t="shared" si="13"/>
        <v>54</v>
      </c>
      <c r="K28" s="6">
        <f t="shared" si="13"/>
        <v>63</v>
      </c>
      <c r="M28" s="85"/>
      <c r="N28" s="84"/>
      <c r="O28" s="5">
        <v>490</v>
      </c>
      <c r="P28" s="6">
        <f t="shared" si="16"/>
        <v>30</v>
      </c>
      <c r="Q28" s="6">
        <f t="shared" si="14"/>
        <v>30</v>
      </c>
      <c r="R28" s="6">
        <f t="shared" si="14"/>
        <v>31</v>
      </c>
      <c r="S28" s="6">
        <f t="shared" si="14"/>
        <v>37</v>
      </c>
      <c r="T28" s="6">
        <f t="shared" si="14"/>
        <v>53</v>
      </c>
      <c r="U28" s="6">
        <f t="shared" si="14"/>
        <v>60</v>
      </c>
      <c r="V28" s="6">
        <f t="shared" si="14"/>
        <v>70</v>
      </c>
      <c r="W28" s="6">
        <f t="shared" si="14"/>
        <v>82</v>
      </c>
    </row>
    <row r="29" spans="1:23">
      <c r="A29" s="85"/>
      <c r="B29" s="84"/>
      <c r="C29" s="5">
        <v>560</v>
      </c>
      <c r="D29" s="6">
        <f t="shared" si="15"/>
        <v>30</v>
      </c>
      <c r="E29" s="6">
        <f t="shared" si="13"/>
        <v>30</v>
      </c>
      <c r="F29" s="6">
        <f t="shared" si="13"/>
        <v>30</v>
      </c>
      <c r="G29" s="6">
        <f t="shared" si="13"/>
        <v>30</v>
      </c>
      <c r="H29" s="6">
        <f t="shared" si="13"/>
        <v>38</v>
      </c>
      <c r="I29" s="6">
        <f t="shared" si="13"/>
        <v>44</v>
      </c>
      <c r="J29" s="6">
        <f t="shared" si="13"/>
        <v>50</v>
      </c>
      <c r="K29" s="6">
        <f t="shared" si="13"/>
        <v>59</v>
      </c>
      <c r="M29" s="85"/>
      <c r="N29" s="84"/>
      <c r="O29" s="5">
        <v>560</v>
      </c>
      <c r="P29" s="6">
        <f t="shared" si="16"/>
        <v>30</v>
      </c>
      <c r="Q29" s="6">
        <f t="shared" si="14"/>
        <v>30</v>
      </c>
      <c r="R29" s="6">
        <f t="shared" si="14"/>
        <v>30</v>
      </c>
      <c r="S29" s="6">
        <f t="shared" si="14"/>
        <v>35</v>
      </c>
      <c r="T29" s="6">
        <f t="shared" si="14"/>
        <v>50</v>
      </c>
      <c r="U29" s="6">
        <f t="shared" si="14"/>
        <v>56</v>
      </c>
      <c r="V29" s="6">
        <f t="shared" si="14"/>
        <v>65</v>
      </c>
      <c r="W29" s="6">
        <f t="shared" si="14"/>
        <v>77</v>
      </c>
    </row>
    <row r="30" spans="1:23">
      <c r="A30" s="85"/>
      <c r="B30" s="84">
        <v>4200</v>
      </c>
      <c r="C30" s="5">
        <v>210</v>
      </c>
      <c r="D30" s="6">
        <f>ROUNDUP(MAX(IF(D$3&lt;22,1.3*0.8*0.28*$B$11/$C30^0.5*(D$3/10)*MIN(1,MAX(0.4,(D$3/10/(D$3/10/2+MIN($A$4,($B$2-D$3/10)/2))))),1.3*0.28*$B$11/$C30^0.5*(D$3/10)*MIN(1,MAX(0.4,(D$3/10/(D$3/10/2+MIN($A$4,($B$2-D$3/10)/2)))))),30),0)</f>
        <v>34</v>
      </c>
      <c r="E30" s="6">
        <f t="shared" ref="E30:K36" si="17">ROUNDUP(MAX(IF(E$3&lt;22,1.3*0.8*0.28*$B$11/$C30^0.5*(E$3/10)*MIN(1,MAX(0.4,(E$3/10/(E$3/10/2+MIN($A$4,($B$2-E$3/10)/2))))),1.3*0.28*$B$11/$C30^0.5*(E$3/10)*MIN(1,MAX(0.4,(E$3/10/(E$3/10/2+MIN($A$4,($B$2-E$3/10)/2)))))),30),0)</f>
        <v>44</v>
      </c>
      <c r="F30" s="6">
        <f t="shared" si="17"/>
        <v>55</v>
      </c>
      <c r="G30" s="6">
        <f t="shared" si="17"/>
        <v>65</v>
      </c>
      <c r="H30" s="6">
        <f t="shared" si="17"/>
        <v>93</v>
      </c>
      <c r="I30" s="6">
        <f t="shared" si="17"/>
        <v>106</v>
      </c>
      <c r="J30" s="6">
        <f t="shared" si="17"/>
        <v>123</v>
      </c>
      <c r="K30" s="6">
        <f t="shared" si="17"/>
        <v>145</v>
      </c>
      <c r="M30" s="85"/>
      <c r="N30" s="84">
        <v>4200</v>
      </c>
      <c r="O30" s="5">
        <v>210</v>
      </c>
      <c r="P30" s="6">
        <f>ROUNDUP(MAX(IF(P$3&lt;22,1.3*1.3*0.8*0.28*$B$11/$C30^0.5*(P$3/10)*MIN(1,MAX(0.4,(P$3/10/(P$3/10/2+MIN($A$4,($B$2-P$3/10)/2))))),1.3*1.3*0.28*$B$11/$C30^0.5*(P$3/10)*MIN(1,MAX(0.4,(P$3/10/(P$3/10/2+MIN($A$4,($B$2-P$3/10)/2)))))),30),0)</f>
        <v>44</v>
      </c>
      <c r="Q30" s="6">
        <f t="shared" ref="Q30:W36" si="18">ROUNDUP(MAX(IF(Q$3&lt;22,1.3*1.3*0.8*0.28*$B$11/$C30^0.5*(Q$3/10)*MIN(1,MAX(0.4,(Q$3/10/(Q$3/10/2+MIN($A$4,($B$2-Q$3/10)/2))))),1.3*1.3*0.28*$B$11/$C30^0.5*(Q$3/10)*MIN(1,MAX(0.4,(Q$3/10/(Q$3/10/2+MIN($A$4,($B$2-Q$3/10)/2)))))),30),0)</f>
        <v>58</v>
      </c>
      <c r="R30" s="6">
        <f t="shared" si="18"/>
        <v>71</v>
      </c>
      <c r="S30" s="6">
        <f t="shared" si="18"/>
        <v>84</v>
      </c>
      <c r="T30" s="6">
        <f t="shared" si="18"/>
        <v>121</v>
      </c>
      <c r="U30" s="6">
        <f t="shared" si="18"/>
        <v>138</v>
      </c>
      <c r="V30" s="6">
        <f t="shared" si="18"/>
        <v>160</v>
      </c>
      <c r="W30" s="6">
        <f t="shared" si="18"/>
        <v>188</v>
      </c>
    </row>
    <row r="31" spans="1:23">
      <c r="A31" s="85"/>
      <c r="B31" s="84"/>
      <c r="C31" s="5">
        <v>245</v>
      </c>
      <c r="D31" s="6">
        <f t="shared" ref="D31:D36" si="19">ROUNDUP(MAX(IF(D$3&lt;22,1.3*0.8*0.28*$B$11/$C31^0.5*(D$3/10)*MIN(1,MAX(0.4,(D$3/10/(D$3/10/2+MIN($A$4,($B$2-D$3/10)/2))))),1.3*0.28*$B$11/$C31^0.5*(D$3/10)*MIN(1,MAX(0.4,(D$3/10/(D$3/10/2+MIN($A$4,($B$2-D$3/10)/2)))))),30),0)</f>
        <v>32</v>
      </c>
      <c r="E31" s="6">
        <f t="shared" si="17"/>
        <v>41</v>
      </c>
      <c r="F31" s="6">
        <f t="shared" si="17"/>
        <v>51</v>
      </c>
      <c r="G31" s="6">
        <f t="shared" si="17"/>
        <v>60</v>
      </c>
      <c r="H31" s="6">
        <f t="shared" si="17"/>
        <v>86</v>
      </c>
      <c r="I31" s="6">
        <f t="shared" si="17"/>
        <v>98</v>
      </c>
      <c r="J31" s="6">
        <f t="shared" si="17"/>
        <v>114</v>
      </c>
      <c r="K31" s="6">
        <f t="shared" si="17"/>
        <v>134</v>
      </c>
      <c r="M31" s="85"/>
      <c r="N31" s="84"/>
      <c r="O31" s="5">
        <v>245</v>
      </c>
      <c r="P31" s="6">
        <f t="shared" ref="P31:P36" si="20">ROUNDUP(MAX(IF(P$3&lt;22,1.3*1.3*0.8*0.28*$B$11/$C31^0.5*(P$3/10)*MIN(1,MAX(0.4,(P$3/10/(P$3/10/2+MIN($A$4,($B$2-P$3/10)/2))))),1.3*1.3*0.28*$B$11/$C31^0.5*(P$3/10)*MIN(1,MAX(0.4,(P$3/10/(P$3/10/2+MIN($A$4,($B$2-P$3/10)/2)))))),30),0)</f>
        <v>41</v>
      </c>
      <c r="Q31" s="6">
        <f t="shared" si="18"/>
        <v>53</v>
      </c>
      <c r="R31" s="6">
        <f t="shared" si="18"/>
        <v>66</v>
      </c>
      <c r="S31" s="6">
        <f t="shared" si="18"/>
        <v>78</v>
      </c>
      <c r="T31" s="6">
        <f t="shared" si="18"/>
        <v>112</v>
      </c>
      <c r="U31" s="6">
        <f t="shared" si="18"/>
        <v>127</v>
      </c>
      <c r="V31" s="6">
        <f t="shared" si="18"/>
        <v>148</v>
      </c>
      <c r="W31" s="6">
        <f t="shared" si="18"/>
        <v>174</v>
      </c>
    </row>
    <row r="32" spans="1:23">
      <c r="A32" s="85"/>
      <c r="B32" s="84"/>
      <c r="C32" s="5">
        <v>280</v>
      </c>
      <c r="D32" s="6">
        <f t="shared" si="19"/>
        <v>30</v>
      </c>
      <c r="E32" s="6">
        <f t="shared" si="17"/>
        <v>39</v>
      </c>
      <c r="F32" s="6">
        <f t="shared" si="17"/>
        <v>47</v>
      </c>
      <c r="G32" s="6">
        <f t="shared" si="17"/>
        <v>56</v>
      </c>
      <c r="H32" s="6">
        <f t="shared" si="17"/>
        <v>81</v>
      </c>
      <c r="I32" s="6">
        <f t="shared" si="17"/>
        <v>92</v>
      </c>
      <c r="J32" s="6">
        <f t="shared" si="17"/>
        <v>106</v>
      </c>
      <c r="K32" s="6">
        <f t="shared" si="17"/>
        <v>125</v>
      </c>
      <c r="M32" s="85"/>
      <c r="N32" s="84"/>
      <c r="O32" s="5">
        <v>280</v>
      </c>
      <c r="P32" s="6">
        <f t="shared" si="20"/>
        <v>39</v>
      </c>
      <c r="Q32" s="6">
        <f t="shared" si="18"/>
        <v>50</v>
      </c>
      <c r="R32" s="6">
        <f t="shared" si="18"/>
        <v>61</v>
      </c>
      <c r="S32" s="6">
        <f t="shared" si="18"/>
        <v>73</v>
      </c>
      <c r="T32" s="6">
        <f t="shared" si="18"/>
        <v>105</v>
      </c>
      <c r="U32" s="44">
        <f t="shared" si="18"/>
        <v>119</v>
      </c>
      <c r="V32" s="6">
        <f t="shared" si="18"/>
        <v>138</v>
      </c>
      <c r="W32" s="6">
        <f t="shared" si="18"/>
        <v>163</v>
      </c>
    </row>
    <row r="33" spans="1:23">
      <c r="A33" s="85"/>
      <c r="B33" s="84"/>
      <c r="C33" s="5">
        <v>350</v>
      </c>
      <c r="D33" s="6">
        <f t="shared" si="19"/>
        <v>30</v>
      </c>
      <c r="E33" s="6">
        <f t="shared" si="17"/>
        <v>34</v>
      </c>
      <c r="F33" s="6">
        <f t="shared" si="17"/>
        <v>42</v>
      </c>
      <c r="G33" s="6">
        <f t="shared" si="17"/>
        <v>50</v>
      </c>
      <c r="H33" s="6">
        <f t="shared" si="17"/>
        <v>72</v>
      </c>
      <c r="I33" s="6">
        <f t="shared" si="17"/>
        <v>82</v>
      </c>
      <c r="J33" s="6">
        <f t="shared" si="17"/>
        <v>95</v>
      </c>
      <c r="K33" s="6">
        <f t="shared" si="17"/>
        <v>112</v>
      </c>
      <c r="M33" s="85"/>
      <c r="N33" s="84"/>
      <c r="O33" s="5">
        <v>350</v>
      </c>
      <c r="P33" s="6">
        <f t="shared" si="20"/>
        <v>34</v>
      </c>
      <c r="Q33" s="6">
        <f t="shared" si="18"/>
        <v>45</v>
      </c>
      <c r="R33" s="6">
        <f t="shared" si="18"/>
        <v>55</v>
      </c>
      <c r="S33" s="6">
        <f t="shared" si="18"/>
        <v>65</v>
      </c>
      <c r="T33" s="6">
        <f t="shared" si="18"/>
        <v>94</v>
      </c>
      <c r="U33" s="6">
        <f t="shared" si="18"/>
        <v>107</v>
      </c>
      <c r="V33" s="6">
        <f t="shared" si="18"/>
        <v>124</v>
      </c>
      <c r="W33" s="6">
        <f t="shared" si="18"/>
        <v>146</v>
      </c>
    </row>
    <row r="34" spans="1:23">
      <c r="A34" s="85"/>
      <c r="B34" s="84"/>
      <c r="C34" s="5">
        <v>420</v>
      </c>
      <c r="D34" s="6">
        <f t="shared" si="19"/>
        <v>30</v>
      </c>
      <c r="E34" s="6">
        <f t="shared" si="17"/>
        <v>32</v>
      </c>
      <c r="F34" s="6">
        <f t="shared" si="17"/>
        <v>39</v>
      </c>
      <c r="G34" s="6">
        <f t="shared" si="17"/>
        <v>46</v>
      </c>
      <c r="H34" s="6">
        <f t="shared" si="17"/>
        <v>66</v>
      </c>
      <c r="I34" s="6">
        <f t="shared" si="17"/>
        <v>75</v>
      </c>
      <c r="J34" s="6">
        <f t="shared" si="17"/>
        <v>87</v>
      </c>
      <c r="K34" s="6">
        <f t="shared" si="17"/>
        <v>102</v>
      </c>
      <c r="M34" s="85"/>
      <c r="N34" s="84"/>
      <c r="O34" s="5">
        <v>420</v>
      </c>
      <c r="P34" s="6">
        <f t="shared" si="20"/>
        <v>32</v>
      </c>
      <c r="Q34" s="6">
        <f t="shared" si="18"/>
        <v>41</v>
      </c>
      <c r="R34" s="6">
        <f t="shared" si="18"/>
        <v>50</v>
      </c>
      <c r="S34" s="6">
        <f t="shared" si="18"/>
        <v>59</v>
      </c>
      <c r="T34" s="6">
        <f t="shared" si="18"/>
        <v>86</v>
      </c>
      <c r="U34" s="6">
        <f t="shared" si="18"/>
        <v>97</v>
      </c>
      <c r="V34" s="6">
        <f t="shared" si="18"/>
        <v>113</v>
      </c>
      <c r="W34" s="6">
        <f t="shared" si="18"/>
        <v>133</v>
      </c>
    </row>
    <row r="35" spans="1:23">
      <c r="A35" s="85"/>
      <c r="B35" s="84"/>
      <c r="C35" s="5">
        <v>490</v>
      </c>
      <c r="D35" s="6">
        <f t="shared" si="19"/>
        <v>30</v>
      </c>
      <c r="E35" s="6">
        <f t="shared" si="17"/>
        <v>30</v>
      </c>
      <c r="F35" s="6">
        <f t="shared" si="17"/>
        <v>36</v>
      </c>
      <c r="G35" s="6">
        <f t="shared" si="17"/>
        <v>42</v>
      </c>
      <c r="H35" s="6">
        <f t="shared" si="17"/>
        <v>61</v>
      </c>
      <c r="I35" s="6">
        <f t="shared" si="17"/>
        <v>70</v>
      </c>
      <c r="J35" s="6">
        <f t="shared" si="17"/>
        <v>81</v>
      </c>
      <c r="K35" s="6">
        <f t="shared" si="17"/>
        <v>95</v>
      </c>
      <c r="M35" s="85"/>
      <c r="N35" s="84"/>
      <c r="O35" s="5">
        <v>490</v>
      </c>
      <c r="P35" s="6">
        <f t="shared" si="20"/>
        <v>30</v>
      </c>
      <c r="Q35" s="6">
        <f t="shared" si="18"/>
        <v>38</v>
      </c>
      <c r="R35" s="6">
        <f t="shared" si="18"/>
        <v>46</v>
      </c>
      <c r="S35" s="6">
        <f t="shared" si="18"/>
        <v>55</v>
      </c>
      <c r="T35" s="6">
        <f t="shared" si="18"/>
        <v>80</v>
      </c>
      <c r="U35" s="6">
        <f t="shared" si="18"/>
        <v>90</v>
      </c>
      <c r="V35" s="6">
        <f t="shared" si="18"/>
        <v>105</v>
      </c>
      <c r="W35" s="6">
        <f t="shared" si="18"/>
        <v>123</v>
      </c>
    </row>
    <row r="36" spans="1:23">
      <c r="A36" s="85"/>
      <c r="B36" s="84"/>
      <c r="C36" s="5">
        <v>560</v>
      </c>
      <c r="D36" s="6">
        <f t="shared" si="19"/>
        <v>30</v>
      </c>
      <c r="E36" s="6">
        <f t="shared" si="17"/>
        <v>30</v>
      </c>
      <c r="F36" s="6">
        <f t="shared" si="17"/>
        <v>34</v>
      </c>
      <c r="G36" s="6">
        <f t="shared" si="17"/>
        <v>40</v>
      </c>
      <c r="H36" s="6">
        <f t="shared" si="17"/>
        <v>57</v>
      </c>
      <c r="I36" s="6">
        <f t="shared" si="17"/>
        <v>65</v>
      </c>
      <c r="J36" s="6">
        <f t="shared" si="17"/>
        <v>75</v>
      </c>
      <c r="K36" s="6">
        <f t="shared" si="17"/>
        <v>89</v>
      </c>
      <c r="M36" s="85"/>
      <c r="N36" s="84"/>
      <c r="O36" s="5">
        <v>560</v>
      </c>
      <c r="P36" s="6">
        <f t="shared" si="20"/>
        <v>30</v>
      </c>
      <c r="Q36" s="6">
        <f t="shared" si="18"/>
        <v>35</v>
      </c>
      <c r="R36" s="6">
        <f t="shared" si="18"/>
        <v>44</v>
      </c>
      <c r="S36" s="6">
        <f t="shared" si="18"/>
        <v>52</v>
      </c>
      <c r="T36" s="6">
        <f t="shared" si="18"/>
        <v>74</v>
      </c>
      <c r="U36" s="6">
        <f t="shared" si="18"/>
        <v>84</v>
      </c>
      <c r="V36" s="6">
        <f t="shared" si="18"/>
        <v>98</v>
      </c>
      <c r="W36" s="6">
        <f t="shared" si="18"/>
        <v>115</v>
      </c>
    </row>
  </sheetData>
  <mergeCells count="16">
    <mergeCell ref="N30:N36"/>
    <mergeCell ref="A23:A36"/>
    <mergeCell ref="B23:B29"/>
    <mergeCell ref="B30:B36"/>
    <mergeCell ref="M1:W1"/>
    <mergeCell ref="M4:M17"/>
    <mergeCell ref="N4:N10"/>
    <mergeCell ref="N11:N17"/>
    <mergeCell ref="M20:W20"/>
    <mergeCell ref="M23:M36"/>
    <mergeCell ref="N23:N29"/>
    <mergeCell ref="B4:B10"/>
    <mergeCell ref="B11:B17"/>
    <mergeCell ref="A4:A17"/>
    <mergeCell ref="A1:K1"/>
    <mergeCell ref="A20:K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B479-6BA0-46CD-848D-669A3327B4DE}">
  <sheetPr codeName="工作表6">
    <tabColor rgb="FFFFC000"/>
    <pageSetUpPr fitToPage="1"/>
  </sheetPr>
  <dimension ref="A1:S73"/>
  <sheetViews>
    <sheetView zoomScale="70" zoomScaleNormal="70" zoomScaleSheetLayoutView="25" workbookViewId="0">
      <selection activeCell="Q59" sqref="Q59"/>
    </sheetView>
  </sheetViews>
  <sheetFormatPr defaultColWidth="9" defaultRowHeight="15.75"/>
  <cols>
    <col min="1" max="1" width="9" style="14"/>
    <col min="2" max="2" width="9.625" style="14" customWidth="1"/>
    <col min="3" max="4" width="9" style="14" customWidth="1"/>
    <col min="5" max="5" width="10" style="14" bestFit="1" customWidth="1"/>
    <col min="6" max="6" width="7.875" style="14" bestFit="1" customWidth="1"/>
    <col min="7" max="7" width="10.75" style="14" bestFit="1" customWidth="1"/>
    <col min="8" max="8" width="10.125" style="14" bestFit="1" customWidth="1"/>
    <col min="9" max="9" width="14.5" style="14" bestFit="1" customWidth="1"/>
    <col min="10" max="10" width="10" style="14" bestFit="1" customWidth="1"/>
    <col min="11" max="11" width="10.125" style="14" bestFit="1" customWidth="1"/>
    <col min="12" max="12" width="10" style="14" bestFit="1" customWidth="1"/>
    <col min="13" max="15" width="9" style="14" customWidth="1"/>
    <col min="16" max="16" width="9" style="14"/>
    <col min="17" max="17" width="80.625" style="14" customWidth="1"/>
    <col min="18" max="16384" width="9" style="14"/>
  </cols>
  <sheetData>
    <row r="1" spans="1:19">
      <c r="A1" s="14" t="s">
        <v>10</v>
      </c>
      <c r="B1" s="15">
        <f ca="1">NOW()</f>
        <v>43336.604599305552</v>
      </c>
    </row>
    <row r="2" spans="1:19">
      <c r="A2" s="14" t="s">
        <v>11</v>
      </c>
      <c r="B2" s="16" t="s">
        <v>12</v>
      </c>
    </row>
    <row r="3" spans="1:19">
      <c r="A3" s="14" t="s">
        <v>13</v>
      </c>
      <c r="B3" s="16" t="s">
        <v>14</v>
      </c>
    </row>
    <row r="5" spans="1:19" ht="17.25" customHeight="1" thickBot="1">
      <c r="B5" s="91"/>
      <c r="C5" s="17"/>
      <c r="D5" s="18"/>
      <c r="E5" s="94" t="s">
        <v>15</v>
      </c>
      <c r="F5" s="94"/>
      <c r="G5" s="94"/>
      <c r="H5" s="94"/>
      <c r="I5" s="94"/>
      <c r="J5" s="94"/>
      <c r="K5" s="94"/>
      <c r="L5" s="94"/>
      <c r="M5" s="19"/>
      <c r="N5" s="18"/>
      <c r="O5" s="18"/>
      <c r="P5" s="20"/>
      <c r="Q5" s="88" t="s">
        <v>16</v>
      </c>
      <c r="R5" s="95"/>
      <c r="S5" s="96"/>
    </row>
    <row r="6" spans="1:19" ht="16.5" thickTop="1">
      <c r="B6" s="92"/>
      <c r="C6" s="21"/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22"/>
      <c r="N6" s="22"/>
      <c r="O6" s="22"/>
      <c r="P6" s="23"/>
      <c r="Q6" s="89"/>
      <c r="R6" s="97"/>
      <c r="S6" s="98"/>
    </row>
    <row r="7" spans="1:19">
      <c r="B7" s="92"/>
      <c r="C7" s="21"/>
      <c r="E7" s="14" t="s">
        <v>25</v>
      </c>
      <c r="F7" s="14" t="s">
        <v>26</v>
      </c>
      <c r="G7" s="14" t="s">
        <v>28</v>
      </c>
      <c r="H7" s="14" t="s">
        <v>29</v>
      </c>
      <c r="I7" s="14" t="s">
        <v>0</v>
      </c>
      <c r="J7" s="14" t="s">
        <v>30</v>
      </c>
      <c r="K7" s="14" t="s">
        <v>29</v>
      </c>
      <c r="L7" s="14" t="s">
        <v>26</v>
      </c>
      <c r="M7" s="22"/>
      <c r="N7" s="22"/>
      <c r="O7" s="22"/>
      <c r="P7" s="23"/>
      <c r="Q7" s="89"/>
      <c r="R7" s="97"/>
      <c r="S7" s="98"/>
    </row>
    <row r="8" spans="1:19">
      <c r="B8" s="92"/>
      <c r="C8" s="21"/>
      <c r="E8" s="24">
        <v>32</v>
      </c>
      <c r="F8" s="25">
        <v>7.5</v>
      </c>
      <c r="G8" s="25">
        <v>280</v>
      </c>
      <c r="H8" s="25">
        <v>4200</v>
      </c>
      <c r="I8" s="25">
        <v>20</v>
      </c>
      <c r="J8" s="26">
        <v>0</v>
      </c>
      <c r="K8" s="27">
        <v>4200</v>
      </c>
      <c r="L8" s="27">
        <v>15</v>
      </c>
      <c r="M8" s="28"/>
      <c r="N8" s="22"/>
      <c r="O8" s="22"/>
      <c r="P8" s="23"/>
      <c r="Q8" s="89"/>
      <c r="R8" s="97"/>
      <c r="S8" s="98"/>
    </row>
    <row r="9" spans="1:19">
      <c r="B9" s="93"/>
      <c r="C9" s="29"/>
      <c r="E9" s="30">
        <f>E8/10</f>
        <v>3.2</v>
      </c>
      <c r="J9" s="30">
        <f>J8/10</f>
        <v>0</v>
      </c>
      <c r="M9" s="31"/>
      <c r="N9" s="31"/>
      <c r="O9" s="31"/>
      <c r="P9" s="32"/>
      <c r="Q9" s="90"/>
      <c r="R9" s="99"/>
      <c r="S9" s="100"/>
    </row>
    <row r="10" spans="1:19">
      <c r="B10" s="91">
        <v>1</v>
      </c>
      <c r="C10" s="33"/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33"/>
      <c r="R10" s="35"/>
      <c r="S10" s="36"/>
    </row>
    <row r="11" spans="1:19">
      <c r="B11" s="92"/>
      <c r="C11" s="21"/>
      <c r="D11" s="37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21"/>
      <c r="R11" s="22"/>
      <c r="S11" s="23"/>
    </row>
    <row r="12" spans="1:19">
      <c r="B12" s="92"/>
      <c r="C12" s="21"/>
      <c r="D12" s="37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21"/>
      <c r="R12" s="22"/>
      <c r="S12" s="23"/>
    </row>
    <row r="13" spans="1:19">
      <c r="B13" s="92"/>
      <c r="C13" s="21"/>
      <c r="D13" s="37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1"/>
      <c r="R13" s="22"/>
      <c r="S13" s="23"/>
    </row>
    <row r="14" spans="1:19">
      <c r="B14" s="92"/>
      <c r="C14" s="21"/>
      <c r="D14" s="3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  <c r="Q14" s="21"/>
      <c r="R14" s="22"/>
      <c r="S14" s="23"/>
    </row>
    <row r="15" spans="1:19" ht="20.25">
      <c r="B15" s="92"/>
      <c r="C15" s="21"/>
      <c r="D15" s="3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  <c r="Q15" s="38" t="s">
        <v>31</v>
      </c>
      <c r="R15" s="22">
        <f>'算例-版與一般牆-2s'!F8+'算例-版與一般牆-2s'!J9</f>
        <v>7.5</v>
      </c>
      <c r="S15" s="23" t="s">
        <v>26</v>
      </c>
    </row>
    <row r="16" spans="1:19" ht="20.25">
      <c r="B16" s="92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38" t="s">
        <v>32</v>
      </c>
      <c r="R16" s="22">
        <f>('算例-版與一般牆-2s'!I8-'算例-版與一般牆-2s'!E9)/2</f>
        <v>8.4</v>
      </c>
      <c r="S16" s="23" t="s">
        <v>0</v>
      </c>
    </row>
    <row r="17" spans="2:19" ht="20.25">
      <c r="B17" s="92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38" t="s">
        <v>33</v>
      </c>
      <c r="R17" s="22">
        <f>'算例-版與一般牆-2s'!E9/2+MIN(R15,R16)</f>
        <v>9.1</v>
      </c>
      <c r="S17" s="23" t="s">
        <v>0</v>
      </c>
    </row>
    <row r="18" spans="2:19">
      <c r="B18" s="92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1"/>
      <c r="R18" s="22"/>
      <c r="S18" s="23"/>
    </row>
    <row r="19" spans="2:19">
      <c r="B19" s="92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21"/>
      <c r="R19" s="22"/>
      <c r="S19" s="23"/>
    </row>
    <row r="20" spans="2:19">
      <c r="B20" s="92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1"/>
      <c r="R20" s="22"/>
      <c r="S20" s="23"/>
    </row>
    <row r="21" spans="2:19">
      <c r="B21" s="92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21"/>
      <c r="R21" s="22"/>
      <c r="S21" s="23"/>
    </row>
    <row r="22" spans="2:19">
      <c r="B22" s="93"/>
      <c r="C22" s="2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2"/>
      <c r="Q22" s="29"/>
      <c r="R22" s="31"/>
      <c r="S22" s="32"/>
    </row>
    <row r="23" spans="2:19">
      <c r="B23" s="91">
        <v>2</v>
      </c>
      <c r="C23" s="33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33"/>
      <c r="R23" s="35"/>
      <c r="S23" s="36"/>
    </row>
    <row r="24" spans="2:19">
      <c r="B24" s="92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1"/>
      <c r="R24" s="22"/>
      <c r="S24" s="23"/>
    </row>
    <row r="25" spans="2:19">
      <c r="B25" s="92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21"/>
      <c r="R25" s="22"/>
      <c r="S25" s="23"/>
    </row>
    <row r="26" spans="2:19">
      <c r="B26" s="92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  <c r="Q26" s="38"/>
      <c r="R26" s="39"/>
      <c r="S26" s="40"/>
    </row>
    <row r="27" spans="2:19" ht="20.25">
      <c r="B27" s="92"/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41" t="s">
        <v>34</v>
      </c>
      <c r="R27" s="14">
        <f>MAX(0.4,'算例-版與一般牆-2s'!E9/'算例-版與一般牆-2s'!R17)</f>
        <v>0.4</v>
      </c>
      <c r="S27" s="40"/>
    </row>
    <row r="28" spans="2:19" ht="20.25">
      <c r="B28" s="92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38" t="s">
        <v>35</v>
      </c>
      <c r="R28" s="22"/>
      <c r="S28" s="23"/>
    </row>
    <row r="29" spans="2:19">
      <c r="B29" s="92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21"/>
      <c r="R29" s="22"/>
      <c r="S29" s="23"/>
    </row>
    <row r="30" spans="2:19">
      <c r="B30" s="92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1"/>
      <c r="R30" s="22"/>
      <c r="S30" s="23"/>
    </row>
    <row r="31" spans="2:19">
      <c r="B31" s="92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3"/>
    </row>
    <row r="32" spans="2:19">
      <c r="B32" s="93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  <c r="Q32" s="29"/>
      <c r="R32" s="31"/>
      <c r="S32" s="32"/>
    </row>
    <row r="33" spans="2:19">
      <c r="B33" s="91">
        <v>3</v>
      </c>
      <c r="C33" s="33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3"/>
      <c r="R33" s="35"/>
      <c r="S33" s="36"/>
    </row>
    <row r="34" spans="2:19">
      <c r="B34" s="92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1"/>
      <c r="R34" s="22"/>
      <c r="S34" s="23"/>
    </row>
    <row r="35" spans="2:19">
      <c r="B35" s="92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1"/>
      <c r="R35" s="22"/>
      <c r="S35" s="23"/>
    </row>
    <row r="36" spans="2:19">
      <c r="B36" s="92"/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1"/>
      <c r="R36" s="22"/>
      <c r="S36" s="23"/>
    </row>
    <row r="37" spans="2:19">
      <c r="B37" s="92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  <c r="Q37" s="21"/>
      <c r="R37" s="22"/>
      <c r="S37" s="23"/>
    </row>
    <row r="38" spans="2:19" ht="20.25">
      <c r="B38" s="92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  <c r="Q38" s="38" t="s">
        <v>36</v>
      </c>
      <c r="R38" s="97">
        <f>IF('算例-版與一般牆-2s'!E9&lt;2,0.28*0.8*'算例-版與一般牆-2s'!H8*'算例-版與一般牆-2s'!E9/SQRT('算例-版與一般牆-2s'!G8),0.28*'算例-版與一般牆-2s'!H8*'算例-版與一般牆-2s'!E9/SQRT('算例-版與一般牆-2s'!G8))</f>
        <v>224.89421513235951</v>
      </c>
      <c r="S38" s="98" t="s">
        <v>26</v>
      </c>
    </row>
    <row r="39" spans="2:19" ht="20.25">
      <c r="B39" s="92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38" t="s">
        <v>37</v>
      </c>
      <c r="R39" s="97"/>
      <c r="S39" s="98"/>
    </row>
    <row r="40" spans="2:19" ht="20.25">
      <c r="B40" s="9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3"/>
      <c r="Q40" s="38" t="s">
        <v>38</v>
      </c>
      <c r="R40" s="22">
        <f>'算例-版與一般牆-2s'!R27*R38</f>
        <v>89.957686052943814</v>
      </c>
      <c r="S40" s="23" t="s">
        <v>0</v>
      </c>
    </row>
    <row r="41" spans="2:19" ht="20.25">
      <c r="B41" s="92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  <c r="Q41" s="38" t="s">
        <v>39</v>
      </c>
      <c r="R41" s="22"/>
      <c r="S41" s="23"/>
    </row>
    <row r="42" spans="2:19">
      <c r="B42" s="92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1"/>
      <c r="R42" s="22"/>
      <c r="S42" s="23"/>
    </row>
    <row r="43" spans="2:19">
      <c r="B43" s="92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21"/>
      <c r="R43" s="22"/>
      <c r="S43" s="23"/>
    </row>
    <row r="44" spans="2:19">
      <c r="B44" s="92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  <c r="Q44" s="21"/>
      <c r="R44" s="22"/>
      <c r="S44" s="23"/>
    </row>
    <row r="45" spans="2:19">
      <c r="B45" s="93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  <c r="Q45" s="29"/>
      <c r="R45" s="31"/>
      <c r="S45" s="32"/>
    </row>
    <row r="46" spans="2:19">
      <c r="B46" s="88">
        <v>4</v>
      </c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3"/>
      <c r="R46" s="35"/>
      <c r="S46" s="36"/>
    </row>
    <row r="47" spans="2:19" ht="20.25">
      <c r="B47" s="89"/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8" t="s">
        <v>40</v>
      </c>
      <c r="R47" s="42">
        <f>ROUNDUP(MAX(30,'算例-版與一般牆-2s'!R40*1.3*1.3),0)</f>
        <v>153</v>
      </c>
      <c r="S47" s="23" t="s">
        <v>0</v>
      </c>
    </row>
    <row r="48" spans="2:19" ht="20.25">
      <c r="B48" s="89"/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38" t="s">
        <v>41</v>
      </c>
      <c r="R48" s="42">
        <f>ROUNDUP(MAX(30,'算例-版與一般牆-2s'!R40*1.3),0)</f>
        <v>117</v>
      </c>
      <c r="S48" s="23" t="s">
        <v>0</v>
      </c>
    </row>
    <row r="49" spans="2:19">
      <c r="B49" s="89"/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8"/>
      <c r="R49" s="22"/>
      <c r="S49" s="23"/>
    </row>
    <row r="50" spans="2:19">
      <c r="B50" s="89"/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2"/>
      <c r="S50" s="23"/>
    </row>
    <row r="51" spans="2:19">
      <c r="B51" s="89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2"/>
      <c r="S51" s="23"/>
    </row>
    <row r="52" spans="2:19">
      <c r="B52" s="89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38"/>
      <c r="R52" s="22"/>
      <c r="S52" s="23"/>
    </row>
    <row r="53" spans="2:19">
      <c r="B53" s="89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8"/>
      <c r="R53" s="22"/>
      <c r="S53" s="23"/>
    </row>
    <row r="54" spans="2:19">
      <c r="B54" s="89"/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2"/>
      <c r="S54" s="23"/>
    </row>
    <row r="55" spans="2:19">
      <c r="B55" s="89"/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2"/>
      <c r="S55" s="23"/>
    </row>
    <row r="56" spans="2:19">
      <c r="B56" s="89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2"/>
      <c r="S56" s="23"/>
    </row>
    <row r="57" spans="2:19">
      <c r="B57" s="89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2"/>
      <c r="S57" s="23"/>
    </row>
    <row r="58" spans="2:19">
      <c r="B58" s="89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2"/>
      <c r="S58" s="23"/>
    </row>
    <row r="59" spans="2:19">
      <c r="B59" s="89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2"/>
      <c r="S59" s="23"/>
    </row>
    <row r="60" spans="2:19">
      <c r="B60" s="89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2"/>
      <c r="S60" s="23"/>
    </row>
    <row r="61" spans="2:19">
      <c r="B61" s="89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2"/>
      <c r="S61" s="23"/>
    </row>
    <row r="62" spans="2:19">
      <c r="B62" s="89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2"/>
      <c r="S62" s="23"/>
    </row>
    <row r="63" spans="2:19">
      <c r="B63" s="89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2"/>
      <c r="S63" s="23"/>
    </row>
    <row r="64" spans="2:19">
      <c r="B64" s="89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2"/>
      <c r="S64" s="23"/>
    </row>
    <row r="65" spans="2:19">
      <c r="B65" s="89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2"/>
      <c r="S65" s="23"/>
    </row>
    <row r="66" spans="2:19">
      <c r="B66" s="89"/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2"/>
      <c r="S66" s="23"/>
    </row>
    <row r="67" spans="2:19">
      <c r="B67" s="89"/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2"/>
      <c r="S67" s="23"/>
    </row>
    <row r="68" spans="2:19">
      <c r="B68" s="89"/>
      <c r="C68" s="21"/>
      <c r="D68" s="22"/>
      <c r="E68" s="22"/>
      <c r="F68" s="22"/>
      <c r="G68" s="22"/>
      <c r="H68" s="22"/>
      <c r="I68" s="22"/>
      <c r="J68" s="43"/>
      <c r="K68" s="43"/>
      <c r="L68" s="43"/>
      <c r="M68" s="22"/>
      <c r="N68" s="22"/>
      <c r="O68" s="22"/>
      <c r="P68" s="22"/>
      <c r="Q68" s="21"/>
      <c r="R68" s="22"/>
      <c r="S68" s="23"/>
    </row>
    <row r="69" spans="2:19">
      <c r="B69" s="89"/>
      <c r="C69" s="21"/>
      <c r="D69" s="22"/>
      <c r="E69" s="22"/>
      <c r="F69" s="22"/>
      <c r="G69" s="22"/>
      <c r="H69" s="22"/>
      <c r="I69" s="22"/>
      <c r="J69" s="43"/>
      <c r="K69" s="43"/>
      <c r="L69" s="43"/>
      <c r="M69" s="22"/>
      <c r="N69" s="22"/>
      <c r="O69" s="22"/>
      <c r="P69" s="22"/>
      <c r="Q69" s="21"/>
      <c r="R69" s="22"/>
      <c r="S69" s="23"/>
    </row>
    <row r="70" spans="2:19">
      <c r="B70" s="89"/>
      <c r="C70" s="21"/>
      <c r="D70" s="22"/>
      <c r="E70" s="22"/>
      <c r="F70" s="22"/>
      <c r="G70" s="22"/>
      <c r="H70" s="22"/>
      <c r="I70" s="22"/>
      <c r="J70" s="43"/>
      <c r="K70" s="43"/>
      <c r="L70" s="43"/>
      <c r="M70" s="22"/>
      <c r="N70" s="22"/>
      <c r="O70" s="22"/>
      <c r="P70" s="22"/>
      <c r="Q70" s="21"/>
      <c r="R70" s="22"/>
      <c r="S70" s="23"/>
    </row>
    <row r="71" spans="2:19">
      <c r="B71" s="89"/>
      <c r="C71" s="21"/>
      <c r="D71" s="22"/>
      <c r="E71" s="22"/>
      <c r="F71" s="22"/>
      <c r="G71" s="22"/>
      <c r="H71" s="22"/>
      <c r="I71" s="22"/>
      <c r="J71" s="43"/>
      <c r="K71" s="43"/>
      <c r="L71" s="43"/>
      <c r="M71" s="22"/>
      <c r="N71" s="22"/>
      <c r="O71" s="22"/>
      <c r="P71" s="22"/>
      <c r="Q71" s="21"/>
      <c r="R71" s="22"/>
      <c r="S71" s="23"/>
    </row>
    <row r="72" spans="2:19">
      <c r="B72" s="89"/>
      <c r="C72" s="21"/>
      <c r="D72" s="22"/>
      <c r="E72" s="22"/>
      <c r="F72" s="22"/>
      <c r="G72" s="22"/>
      <c r="H72" s="22"/>
      <c r="I72" s="22"/>
      <c r="J72" s="43"/>
      <c r="K72" s="43"/>
      <c r="L72" s="43"/>
      <c r="M72" s="22"/>
      <c r="N72" s="22"/>
      <c r="O72" s="22"/>
      <c r="P72" s="22"/>
      <c r="Q72" s="21"/>
      <c r="R72" s="22"/>
      <c r="S72" s="23"/>
    </row>
    <row r="73" spans="2:19">
      <c r="B73" s="90"/>
      <c r="C73" s="29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29"/>
      <c r="R73" s="31"/>
      <c r="S73" s="32"/>
    </row>
  </sheetData>
  <mergeCells count="9">
    <mergeCell ref="B46:B73"/>
    <mergeCell ref="B5:B9"/>
    <mergeCell ref="E5:L5"/>
    <mergeCell ref="Q5:S9"/>
    <mergeCell ref="B10:B22"/>
    <mergeCell ref="B23:B32"/>
    <mergeCell ref="B33:B45"/>
    <mergeCell ref="R38:R39"/>
    <mergeCell ref="S38:S39"/>
  </mergeCells>
  <phoneticPr fontId="1" type="noConversion"/>
  <pageMargins left="0.7" right="0.7" top="0.75" bottom="0.75" header="0.3" footer="0.3"/>
  <pageSetup paperSize="8" scale="46" orientation="landscape" r:id="rId1"/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showGridLines="0" tabSelected="1" topLeftCell="A13" workbookViewId="0">
      <selection activeCell="Q13" sqref="Q13"/>
    </sheetView>
  </sheetViews>
  <sheetFormatPr defaultRowHeight="15.75"/>
  <cols>
    <col min="1" max="1" width="9.375" style="115" customWidth="1"/>
    <col min="2" max="3" width="11.625" style="130" customWidth="1"/>
    <col min="4" max="11" width="6.625" style="115" customWidth="1"/>
    <col min="12" max="12" width="1.375" style="115" customWidth="1"/>
    <col min="13" max="13" width="9.375" style="115" customWidth="1"/>
    <col min="14" max="15" width="11.625" style="130" customWidth="1"/>
    <col min="16" max="23" width="6.625" style="115" customWidth="1"/>
    <col min="24" max="16384" width="9" style="115"/>
  </cols>
  <sheetData>
    <row r="1" spans="1:23" ht="24">
      <c r="A1" s="114" t="s">
        <v>73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M1" s="114" t="s">
        <v>74</v>
      </c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7" customHeight="1">
      <c r="A2" s="116" t="s">
        <v>75</v>
      </c>
      <c r="B2" s="117">
        <v>10</v>
      </c>
      <c r="C2" s="118"/>
      <c r="D2" s="119"/>
      <c r="E2" s="119"/>
      <c r="F2" s="119"/>
      <c r="G2" s="119"/>
      <c r="H2" s="119"/>
      <c r="I2" s="119"/>
      <c r="J2" s="118" t="s">
        <v>76</v>
      </c>
      <c r="K2" s="120" t="s">
        <v>0</v>
      </c>
      <c r="M2" s="116" t="s">
        <v>75</v>
      </c>
      <c r="N2" s="121">
        <f>B2</f>
        <v>10</v>
      </c>
      <c r="O2" s="118"/>
      <c r="P2" s="119"/>
      <c r="Q2" s="119"/>
      <c r="R2" s="119"/>
      <c r="S2" s="119"/>
      <c r="T2" s="119"/>
      <c r="U2" s="119"/>
      <c r="V2" s="118" t="s">
        <v>76</v>
      </c>
      <c r="W2" s="120" t="s">
        <v>0</v>
      </c>
    </row>
    <row r="3" spans="1:23" ht="33.75">
      <c r="A3" s="122" t="s">
        <v>77</v>
      </c>
      <c r="B3" s="122" t="s">
        <v>78</v>
      </c>
      <c r="C3" s="122" t="s">
        <v>79</v>
      </c>
      <c r="D3" s="123">
        <v>10</v>
      </c>
      <c r="E3" s="123">
        <v>13</v>
      </c>
      <c r="F3" s="123">
        <v>16</v>
      </c>
      <c r="G3" s="123">
        <v>19</v>
      </c>
      <c r="H3" s="123">
        <v>22</v>
      </c>
      <c r="I3" s="123">
        <v>25</v>
      </c>
      <c r="J3" s="123">
        <v>29</v>
      </c>
      <c r="K3" s="123">
        <v>32</v>
      </c>
      <c r="M3" s="122" t="s">
        <v>77</v>
      </c>
      <c r="N3" s="122" t="s">
        <v>78</v>
      </c>
      <c r="O3" s="122" t="s">
        <v>79</v>
      </c>
      <c r="P3" s="123">
        <v>10</v>
      </c>
      <c r="Q3" s="123">
        <v>13</v>
      </c>
      <c r="R3" s="123">
        <v>16</v>
      </c>
      <c r="S3" s="123">
        <v>19</v>
      </c>
      <c r="T3" s="123">
        <v>22</v>
      </c>
      <c r="U3" s="123">
        <v>25</v>
      </c>
      <c r="V3" s="123">
        <v>29</v>
      </c>
      <c r="W3" s="123">
        <v>32</v>
      </c>
    </row>
    <row r="4" spans="1:23">
      <c r="A4" s="124">
        <v>3</v>
      </c>
      <c r="B4" s="125">
        <v>2800</v>
      </c>
      <c r="C4" s="126">
        <v>210</v>
      </c>
      <c r="D4" s="127">
        <f t="shared" ref="D4:D10" si="0">ROUNDUP(MAX(IF(D$3&lt;22,0.8*0.28*$B$4/$C4^0.5*(D$3/10)*MIN(1,MAX(0.4,(D$3/10/(D$3/10/2+MIN($A$4,($B$2-2*D$3/10)/2))))),0.28*$B$4/$C4^0.5*(D$3/10)*MIN(1,MAX(0.4,(D$3/10/(D$3/10/2+MIN($A$4,($B$2-2*D$3/10)/2)))))),30),0)</f>
        <v>30</v>
      </c>
      <c r="E4" s="127">
        <f t="shared" ref="E4:K10" si="1">ROUNDUP(MAX(IF(E$3&lt;22,0.8*0.28*$B$4/$C4^0.5*(E$3/10)*MIN(1,MAX(0.4,(E$3/10/(E$3/10/2+MIN($A$4,($B$2-2*E$3/10)/2))))),0.28*$B$4/$C4^0.5*(E$3/10)*MIN(1,MAX(0.4,(E$3/10/(E$3/10/2+MIN($A$4,($B$2-2*E$3/10)/2)))))),30),0)</f>
        <v>30</v>
      </c>
      <c r="F4" s="127">
        <f t="shared" si="1"/>
        <v>30</v>
      </c>
      <c r="G4" s="127">
        <f t="shared" si="1"/>
        <v>40</v>
      </c>
      <c r="H4" s="127">
        <f t="shared" si="1"/>
        <v>68</v>
      </c>
      <c r="I4" s="127">
        <f t="shared" si="1"/>
        <v>91</v>
      </c>
      <c r="J4" s="127">
        <f t="shared" si="1"/>
        <v>129</v>
      </c>
      <c r="K4" s="127">
        <f t="shared" si="1"/>
        <v>163</v>
      </c>
      <c r="M4" s="128">
        <f>A4</f>
        <v>3</v>
      </c>
      <c r="N4" s="125">
        <v>2800</v>
      </c>
      <c r="O4" s="126">
        <v>210</v>
      </c>
      <c r="P4" s="127">
        <f>D23</f>
        <v>30</v>
      </c>
      <c r="Q4" s="127">
        <f t="shared" ref="Q4:W17" si="2">E23</f>
        <v>30</v>
      </c>
      <c r="R4" s="127">
        <f t="shared" si="2"/>
        <v>38</v>
      </c>
      <c r="S4" s="127">
        <f t="shared" si="2"/>
        <v>52</v>
      </c>
      <c r="T4" s="127">
        <f t="shared" si="2"/>
        <v>88</v>
      </c>
      <c r="U4" s="127">
        <f t="shared" si="2"/>
        <v>118</v>
      </c>
      <c r="V4" s="127">
        <f t="shared" si="2"/>
        <v>167</v>
      </c>
      <c r="W4" s="127">
        <f t="shared" si="2"/>
        <v>212</v>
      </c>
    </row>
    <row r="5" spans="1:23">
      <c r="A5" s="124"/>
      <c r="B5" s="125"/>
      <c r="C5" s="126">
        <v>245</v>
      </c>
      <c r="D5" s="127">
        <f t="shared" si="0"/>
        <v>30</v>
      </c>
      <c r="E5" s="127">
        <f t="shared" si="1"/>
        <v>30</v>
      </c>
      <c r="F5" s="127">
        <f t="shared" si="1"/>
        <v>30</v>
      </c>
      <c r="G5" s="127">
        <f t="shared" si="1"/>
        <v>37</v>
      </c>
      <c r="H5" s="127">
        <f t="shared" si="1"/>
        <v>63</v>
      </c>
      <c r="I5" s="127">
        <f t="shared" si="1"/>
        <v>84</v>
      </c>
      <c r="J5" s="127">
        <f t="shared" si="1"/>
        <v>119</v>
      </c>
      <c r="K5" s="127">
        <f t="shared" si="1"/>
        <v>151</v>
      </c>
      <c r="M5" s="128"/>
      <c r="N5" s="125"/>
      <c r="O5" s="126">
        <v>245</v>
      </c>
      <c r="P5" s="127">
        <f t="shared" ref="P5:P17" si="3">D24</f>
        <v>30</v>
      </c>
      <c r="Q5" s="127">
        <f t="shared" si="2"/>
        <v>30</v>
      </c>
      <c r="R5" s="127">
        <f t="shared" si="2"/>
        <v>36</v>
      </c>
      <c r="S5" s="127">
        <f t="shared" si="2"/>
        <v>48</v>
      </c>
      <c r="T5" s="127">
        <f t="shared" si="2"/>
        <v>81</v>
      </c>
      <c r="U5" s="127">
        <f t="shared" si="2"/>
        <v>109</v>
      </c>
      <c r="V5" s="127">
        <f t="shared" si="2"/>
        <v>155</v>
      </c>
      <c r="W5" s="127">
        <f t="shared" si="2"/>
        <v>197</v>
      </c>
    </row>
    <row r="6" spans="1:23">
      <c r="A6" s="124"/>
      <c r="B6" s="125"/>
      <c r="C6" s="126">
        <v>280</v>
      </c>
      <c r="D6" s="127">
        <f t="shared" si="0"/>
        <v>30</v>
      </c>
      <c r="E6" s="127">
        <f t="shared" si="1"/>
        <v>30</v>
      </c>
      <c r="F6" s="127">
        <f t="shared" si="1"/>
        <v>30</v>
      </c>
      <c r="G6" s="127">
        <f t="shared" si="1"/>
        <v>35</v>
      </c>
      <c r="H6" s="127">
        <f t="shared" si="1"/>
        <v>59</v>
      </c>
      <c r="I6" s="127">
        <f t="shared" si="1"/>
        <v>79</v>
      </c>
      <c r="J6" s="127">
        <f t="shared" si="1"/>
        <v>111</v>
      </c>
      <c r="K6" s="127">
        <f t="shared" si="1"/>
        <v>142</v>
      </c>
      <c r="M6" s="128"/>
      <c r="N6" s="125"/>
      <c r="O6" s="126">
        <v>280</v>
      </c>
      <c r="P6" s="127">
        <f t="shared" si="3"/>
        <v>30</v>
      </c>
      <c r="Q6" s="127">
        <f t="shared" si="2"/>
        <v>30</v>
      </c>
      <c r="R6" s="127">
        <f t="shared" si="2"/>
        <v>33</v>
      </c>
      <c r="S6" s="127">
        <f t="shared" si="2"/>
        <v>45</v>
      </c>
      <c r="T6" s="127">
        <f t="shared" si="2"/>
        <v>76</v>
      </c>
      <c r="U6" s="127">
        <f t="shared" si="2"/>
        <v>102</v>
      </c>
      <c r="V6" s="127">
        <f t="shared" si="2"/>
        <v>145</v>
      </c>
      <c r="W6" s="127">
        <f t="shared" si="2"/>
        <v>184</v>
      </c>
    </row>
    <row r="7" spans="1:23">
      <c r="A7" s="124"/>
      <c r="B7" s="125"/>
      <c r="C7" s="126">
        <v>350</v>
      </c>
      <c r="D7" s="127">
        <f t="shared" si="0"/>
        <v>30</v>
      </c>
      <c r="E7" s="127">
        <f t="shared" si="1"/>
        <v>30</v>
      </c>
      <c r="F7" s="127">
        <f t="shared" si="1"/>
        <v>30</v>
      </c>
      <c r="G7" s="127">
        <f t="shared" si="1"/>
        <v>31</v>
      </c>
      <c r="H7" s="127">
        <f t="shared" si="1"/>
        <v>53</v>
      </c>
      <c r="I7" s="127">
        <f t="shared" si="1"/>
        <v>70</v>
      </c>
      <c r="J7" s="127">
        <f t="shared" si="1"/>
        <v>100</v>
      </c>
      <c r="K7" s="127">
        <f t="shared" si="1"/>
        <v>127</v>
      </c>
      <c r="M7" s="128"/>
      <c r="N7" s="125"/>
      <c r="O7" s="126">
        <v>350</v>
      </c>
      <c r="P7" s="127">
        <f t="shared" si="3"/>
        <v>30</v>
      </c>
      <c r="Q7" s="127">
        <f t="shared" si="2"/>
        <v>30</v>
      </c>
      <c r="R7" s="127">
        <f t="shared" si="2"/>
        <v>30</v>
      </c>
      <c r="S7" s="127">
        <f t="shared" si="2"/>
        <v>40</v>
      </c>
      <c r="T7" s="127">
        <f t="shared" si="2"/>
        <v>68</v>
      </c>
      <c r="U7" s="127">
        <f t="shared" si="2"/>
        <v>91</v>
      </c>
      <c r="V7" s="127">
        <f t="shared" si="2"/>
        <v>130</v>
      </c>
      <c r="W7" s="127">
        <f t="shared" si="2"/>
        <v>165</v>
      </c>
    </row>
    <row r="8" spans="1:23">
      <c r="A8" s="124"/>
      <c r="B8" s="125"/>
      <c r="C8" s="126">
        <v>420</v>
      </c>
      <c r="D8" s="127">
        <f t="shared" si="0"/>
        <v>30</v>
      </c>
      <c r="E8" s="127">
        <f t="shared" si="1"/>
        <v>30</v>
      </c>
      <c r="F8" s="127">
        <f t="shared" si="1"/>
        <v>30</v>
      </c>
      <c r="G8" s="127">
        <f t="shared" si="1"/>
        <v>30</v>
      </c>
      <c r="H8" s="127">
        <f t="shared" si="1"/>
        <v>48</v>
      </c>
      <c r="I8" s="127">
        <f t="shared" si="1"/>
        <v>64</v>
      </c>
      <c r="J8" s="127">
        <f t="shared" si="1"/>
        <v>91</v>
      </c>
      <c r="K8" s="127">
        <f t="shared" si="1"/>
        <v>116</v>
      </c>
      <c r="M8" s="128"/>
      <c r="N8" s="125"/>
      <c r="O8" s="126">
        <v>420</v>
      </c>
      <c r="P8" s="127">
        <f t="shared" si="3"/>
        <v>30</v>
      </c>
      <c r="Q8" s="127">
        <f t="shared" si="2"/>
        <v>30</v>
      </c>
      <c r="R8" s="127">
        <f t="shared" si="2"/>
        <v>30</v>
      </c>
      <c r="S8" s="127">
        <f t="shared" si="2"/>
        <v>37</v>
      </c>
      <c r="T8" s="127">
        <f t="shared" si="2"/>
        <v>62</v>
      </c>
      <c r="U8" s="127">
        <f t="shared" si="2"/>
        <v>83</v>
      </c>
      <c r="V8" s="127">
        <f t="shared" si="2"/>
        <v>118</v>
      </c>
      <c r="W8" s="127">
        <f t="shared" si="2"/>
        <v>150</v>
      </c>
    </row>
    <row r="9" spans="1:23">
      <c r="A9" s="124"/>
      <c r="B9" s="125"/>
      <c r="C9" s="126">
        <v>490</v>
      </c>
      <c r="D9" s="127">
        <f t="shared" si="0"/>
        <v>30</v>
      </c>
      <c r="E9" s="127">
        <f t="shared" si="1"/>
        <v>30</v>
      </c>
      <c r="F9" s="127">
        <f t="shared" si="1"/>
        <v>30</v>
      </c>
      <c r="G9" s="127">
        <f t="shared" si="1"/>
        <v>30</v>
      </c>
      <c r="H9" s="127">
        <f t="shared" si="1"/>
        <v>44</v>
      </c>
      <c r="I9" s="127">
        <f t="shared" si="1"/>
        <v>60</v>
      </c>
      <c r="J9" s="127">
        <f t="shared" si="1"/>
        <v>84</v>
      </c>
      <c r="K9" s="127">
        <f t="shared" si="1"/>
        <v>107</v>
      </c>
      <c r="M9" s="128"/>
      <c r="N9" s="125"/>
      <c r="O9" s="126">
        <v>490</v>
      </c>
      <c r="P9" s="127">
        <f t="shared" si="3"/>
        <v>30</v>
      </c>
      <c r="Q9" s="127">
        <f t="shared" si="2"/>
        <v>30</v>
      </c>
      <c r="R9" s="127">
        <f t="shared" si="2"/>
        <v>30</v>
      </c>
      <c r="S9" s="127">
        <f t="shared" si="2"/>
        <v>34</v>
      </c>
      <c r="T9" s="127">
        <f t="shared" si="2"/>
        <v>58</v>
      </c>
      <c r="U9" s="127">
        <f t="shared" si="2"/>
        <v>77</v>
      </c>
      <c r="V9" s="127">
        <f t="shared" si="2"/>
        <v>110</v>
      </c>
      <c r="W9" s="127">
        <f t="shared" si="2"/>
        <v>139</v>
      </c>
    </row>
    <row r="10" spans="1:23">
      <c r="A10" s="124"/>
      <c r="B10" s="125"/>
      <c r="C10" s="126">
        <v>560</v>
      </c>
      <c r="D10" s="127">
        <f t="shared" si="0"/>
        <v>30</v>
      </c>
      <c r="E10" s="127">
        <f t="shared" si="1"/>
        <v>30</v>
      </c>
      <c r="F10" s="127">
        <f t="shared" si="1"/>
        <v>30</v>
      </c>
      <c r="G10" s="127">
        <f t="shared" si="1"/>
        <v>30</v>
      </c>
      <c r="H10" s="127">
        <f t="shared" si="1"/>
        <v>42</v>
      </c>
      <c r="I10" s="127">
        <f t="shared" si="1"/>
        <v>56</v>
      </c>
      <c r="J10" s="127">
        <f t="shared" si="1"/>
        <v>79</v>
      </c>
      <c r="K10" s="127">
        <f t="shared" si="1"/>
        <v>100</v>
      </c>
      <c r="M10" s="128"/>
      <c r="N10" s="125"/>
      <c r="O10" s="126">
        <v>560</v>
      </c>
      <c r="P10" s="127">
        <f t="shared" si="3"/>
        <v>30</v>
      </c>
      <c r="Q10" s="127">
        <f t="shared" si="2"/>
        <v>30</v>
      </c>
      <c r="R10" s="127">
        <f t="shared" si="2"/>
        <v>30</v>
      </c>
      <c r="S10" s="127">
        <f t="shared" si="2"/>
        <v>32</v>
      </c>
      <c r="T10" s="127">
        <f t="shared" si="2"/>
        <v>54</v>
      </c>
      <c r="U10" s="127">
        <f t="shared" si="2"/>
        <v>72</v>
      </c>
      <c r="V10" s="127">
        <f t="shared" si="2"/>
        <v>103</v>
      </c>
      <c r="W10" s="127">
        <f t="shared" si="2"/>
        <v>130</v>
      </c>
    </row>
    <row r="11" spans="1:23">
      <c r="A11" s="124"/>
      <c r="B11" s="125">
        <v>4200</v>
      </c>
      <c r="C11" s="126">
        <v>210</v>
      </c>
      <c r="D11" s="127">
        <f t="shared" ref="D11:D17" si="4">ROUNDUP(MAX(IF(D$3&lt;22,0.8*0.28*$B$11/$C11^0.5*(D$3/10)*MIN(1,MAX(0.4,(D$3/10/(D$3/10/2+MIN($A$4,($B$2-2*D$3/10)/2))))),0.28*$B$11/$C11^0.5*(D$3/10)*MIN(1,MAX(0.4,(D$3/10/(D$3/10/2+MIN($A$4,($B$2-2*D$3/10)/2)))))),30),0)</f>
        <v>30</v>
      </c>
      <c r="E11" s="127">
        <f t="shared" ref="E11:K17" si="5">ROUNDUP(MAX(IF(E$3&lt;22,0.8*0.28*$B$11/$C11^0.5*(E$3/10)*MIN(1,MAX(0.4,(E$3/10/(E$3/10/2+MIN($A$4,($B$2-2*E$3/10)/2))))),0.28*$B$11/$C11^0.5*(E$3/10)*MIN(1,MAX(0.4,(E$3/10/(E$3/10/2+MIN($A$4,($B$2-2*E$3/10)/2)))))),30),0)</f>
        <v>34</v>
      </c>
      <c r="F11" s="127">
        <f t="shared" si="5"/>
        <v>44</v>
      </c>
      <c r="G11" s="127">
        <f t="shared" si="5"/>
        <v>60</v>
      </c>
      <c r="H11" s="127">
        <f t="shared" si="5"/>
        <v>101</v>
      </c>
      <c r="I11" s="127">
        <f t="shared" si="5"/>
        <v>136</v>
      </c>
      <c r="J11" s="127">
        <f t="shared" si="5"/>
        <v>193</v>
      </c>
      <c r="K11" s="127">
        <f t="shared" si="5"/>
        <v>245</v>
      </c>
      <c r="M11" s="128"/>
      <c r="N11" s="125">
        <v>4200</v>
      </c>
      <c r="O11" s="126">
        <v>210</v>
      </c>
      <c r="P11" s="127">
        <f t="shared" si="3"/>
        <v>34</v>
      </c>
      <c r="Q11" s="127">
        <f t="shared" si="2"/>
        <v>44</v>
      </c>
      <c r="R11" s="127">
        <f t="shared" si="2"/>
        <v>57</v>
      </c>
      <c r="S11" s="127">
        <f t="shared" si="2"/>
        <v>78</v>
      </c>
      <c r="T11" s="127">
        <f t="shared" si="2"/>
        <v>131</v>
      </c>
      <c r="U11" s="127">
        <f t="shared" si="2"/>
        <v>176</v>
      </c>
      <c r="V11" s="127">
        <f t="shared" si="2"/>
        <v>250</v>
      </c>
      <c r="W11" s="127">
        <f t="shared" si="2"/>
        <v>318</v>
      </c>
    </row>
    <row r="12" spans="1:23">
      <c r="A12" s="124"/>
      <c r="B12" s="125"/>
      <c r="C12" s="126">
        <v>245</v>
      </c>
      <c r="D12" s="127">
        <f t="shared" si="4"/>
        <v>30</v>
      </c>
      <c r="E12" s="127">
        <f t="shared" si="5"/>
        <v>32</v>
      </c>
      <c r="F12" s="127">
        <f t="shared" si="5"/>
        <v>41</v>
      </c>
      <c r="G12" s="127">
        <f t="shared" si="5"/>
        <v>55</v>
      </c>
      <c r="H12" s="127">
        <f t="shared" si="5"/>
        <v>94</v>
      </c>
      <c r="I12" s="127">
        <f t="shared" si="5"/>
        <v>126</v>
      </c>
      <c r="J12" s="127">
        <f t="shared" si="5"/>
        <v>178</v>
      </c>
      <c r="K12" s="127">
        <f t="shared" si="5"/>
        <v>227</v>
      </c>
      <c r="M12" s="128"/>
      <c r="N12" s="125"/>
      <c r="O12" s="126">
        <v>245</v>
      </c>
      <c r="P12" s="127">
        <f t="shared" si="3"/>
        <v>32</v>
      </c>
      <c r="Q12" s="127">
        <f t="shared" si="2"/>
        <v>41</v>
      </c>
      <c r="R12" s="127">
        <f t="shared" si="2"/>
        <v>53</v>
      </c>
      <c r="S12" s="127">
        <f t="shared" si="2"/>
        <v>72</v>
      </c>
      <c r="T12" s="127">
        <f t="shared" si="2"/>
        <v>122</v>
      </c>
      <c r="U12" s="127">
        <f t="shared" si="2"/>
        <v>163</v>
      </c>
      <c r="V12" s="127">
        <f t="shared" si="2"/>
        <v>232</v>
      </c>
      <c r="W12" s="127">
        <f t="shared" si="2"/>
        <v>295</v>
      </c>
    </row>
    <row r="13" spans="1:23">
      <c r="A13" s="124"/>
      <c r="B13" s="125"/>
      <c r="C13" s="126">
        <v>280</v>
      </c>
      <c r="D13" s="127">
        <f t="shared" si="4"/>
        <v>30</v>
      </c>
      <c r="E13" s="127">
        <f t="shared" si="5"/>
        <v>30</v>
      </c>
      <c r="F13" s="127">
        <f t="shared" si="5"/>
        <v>38</v>
      </c>
      <c r="G13" s="127">
        <f t="shared" si="5"/>
        <v>52</v>
      </c>
      <c r="H13" s="127">
        <f t="shared" si="5"/>
        <v>88</v>
      </c>
      <c r="I13" s="127">
        <f t="shared" si="5"/>
        <v>118</v>
      </c>
      <c r="J13" s="127">
        <f t="shared" si="5"/>
        <v>167</v>
      </c>
      <c r="K13" s="127">
        <f t="shared" si="5"/>
        <v>212</v>
      </c>
      <c r="M13" s="128"/>
      <c r="N13" s="125"/>
      <c r="O13" s="126">
        <v>280</v>
      </c>
      <c r="P13" s="127">
        <f t="shared" si="3"/>
        <v>30</v>
      </c>
      <c r="Q13" s="127">
        <f t="shared" si="2"/>
        <v>39</v>
      </c>
      <c r="R13" s="127">
        <f t="shared" si="2"/>
        <v>50</v>
      </c>
      <c r="S13" s="127">
        <f t="shared" si="2"/>
        <v>67</v>
      </c>
      <c r="T13" s="127">
        <f t="shared" si="2"/>
        <v>114</v>
      </c>
      <c r="U13" s="129">
        <f t="shared" si="2"/>
        <v>153</v>
      </c>
      <c r="V13" s="127">
        <f t="shared" si="2"/>
        <v>217</v>
      </c>
      <c r="W13" s="127">
        <f t="shared" si="2"/>
        <v>276</v>
      </c>
    </row>
    <row r="14" spans="1:23">
      <c r="A14" s="124"/>
      <c r="B14" s="125"/>
      <c r="C14" s="126">
        <v>350</v>
      </c>
      <c r="D14" s="127">
        <f t="shared" si="4"/>
        <v>30</v>
      </c>
      <c r="E14" s="127">
        <f t="shared" si="5"/>
        <v>30</v>
      </c>
      <c r="F14" s="127">
        <f t="shared" si="5"/>
        <v>34</v>
      </c>
      <c r="G14" s="127">
        <f t="shared" si="5"/>
        <v>46</v>
      </c>
      <c r="H14" s="127">
        <f t="shared" si="5"/>
        <v>79</v>
      </c>
      <c r="I14" s="127">
        <f t="shared" si="5"/>
        <v>105</v>
      </c>
      <c r="J14" s="127">
        <f t="shared" si="5"/>
        <v>149</v>
      </c>
      <c r="K14" s="127">
        <f t="shared" si="5"/>
        <v>190</v>
      </c>
      <c r="M14" s="128"/>
      <c r="N14" s="125"/>
      <c r="O14" s="126">
        <v>350</v>
      </c>
      <c r="P14" s="127">
        <f t="shared" si="3"/>
        <v>30</v>
      </c>
      <c r="Q14" s="127">
        <f t="shared" si="2"/>
        <v>34</v>
      </c>
      <c r="R14" s="127">
        <f t="shared" si="2"/>
        <v>45</v>
      </c>
      <c r="S14" s="127">
        <f t="shared" si="2"/>
        <v>60</v>
      </c>
      <c r="T14" s="127">
        <f t="shared" si="2"/>
        <v>102</v>
      </c>
      <c r="U14" s="127">
        <f t="shared" si="2"/>
        <v>137</v>
      </c>
      <c r="V14" s="127">
        <f t="shared" si="2"/>
        <v>194</v>
      </c>
      <c r="W14" s="127">
        <f t="shared" si="2"/>
        <v>247</v>
      </c>
    </row>
    <row r="15" spans="1:23">
      <c r="A15" s="124"/>
      <c r="B15" s="125"/>
      <c r="C15" s="126">
        <v>420</v>
      </c>
      <c r="D15" s="127">
        <f t="shared" si="4"/>
        <v>30</v>
      </c>
      <c r="E15" s="127">
        <f t="shared" si="5"/>
        <v>30</v>
      </c>
      <c r="F15" s="127">
        <f t="shared" si="5"/>
        <v>31</v>
      </c>
      <c r="G15" s="127">
        <f t="shared" si="5"/>
        <v>42</v>
      </c>
      <c r="H15" s="127">
        <f t="shared" si="5"/>
        <v>72</v>
      </c>
      <c r="I15" s="127">
        <f t="shared" si="5"/>
        <v>96</v>
      </c>
      <c r="J15" s="127">
        <f t="shared" si="5"/>
        <v>136</v>
      </c>
      <c r="K15" s="127">
        <f t="shared" si="5"/>
        <v>173</v>
      </c>
      <c r="M15" s="128"/>
      <c r="N15" s="125"/>
      <c r="O15" s="126">
        <v>420</v>
      </c>
      <c r="P15" s="127">
        <f t="shared" si="3"/>
        <v>30</v>
      </c>
      <c r="Q15" s="127">
        <f t="shared" si="2"/>
        <v>32</v>
      </c>
      <c r="R15" s="127">
        <f t="shared" si="2"/>
        <v>41</v>
      </c>
      <c r="S15" s="127">
        <f t="shared" si="2"/>
        <v>55</v>
      </c>
      <c r="T15" s="127">
        <f t="shared" si="2"/>
        <v>93</v>
      </c>
      <c r="U15" s="127">
        <f t="shared" si="2"/>
        <v>125</v>
      </c>
      <c r="V15" s="127">
        <f t="shared" si="2"/>
        <v>177</v>
      </c>
      <c r="W15" s="127">
        <f t="shared" si="2"/>
        <v>225</v>
      </c>
    </row>
    <row r="16" spans="1:23">
      <c r="A16" s="124"/>
      <c r="B16" s="125"/>
      <c r="C16" s="126">
        <v>490</v>
      </c>
      <c r="D16" s="127">
        <f t="shared" si="4"/>
        <v>30</v>
      </c>
      <c r="E16" s="127">
        <f t="shared" si="5"/>
        <v>30</v>
      </c>
      <c r="F16" s="127">
        <f t="shared" si="5"/>
        <v>30</v>
      </c>
      <c r="G16" s="127">
        <f t="shared" si="5"/>
        <v>39</v>
      </c>
      <c r="H16" s="127">
        <f t="shared" si="5"/>
        <v>66</v>
      </c>
      <c r="I16" s="127">
        <f t="shared" si="5"/>
        <v>89</v>
      </c>
      <c r="J16" s="127">
        <f t="shared" si="5"/>
        <v>126</v>
      </c>
      <c r="K16" s="127">
        <f t="shared" si="5"/>
        <v>161</v>
      </c>
      <c r="M16" s="128"/>
      <c r="N16" s="125"/>
      <c r="O16" s="126">
        <v>490</v>
      </c>
      <c r="P16" s="127">
        <f t="shared" si="3"/>
        <v>30</v>
      </c>
      <c r="Q16" s="127">
        <f t="shared" si="2"/>
        <v>30</v>
      </c>
      <c r="R16" s="127">
        <f t="shared" si="2"/>
        <v>38</v>
      </c>
      <c r="S16" s="127">
        <f t="shared" si="2"/>
        <v>51</v>
      </c>
      <c r="T16" s="127">
        <f t="shared" si="2"/>
        <v>86</v>
      </c>
      <c r="U16" s="127">
        <f t="shared" si="2"/>
        <v>116</v>
      </c>
      <c r="V16" s="127">
        <f t="shared" si="2"/>
        <v>164</v>
      </c>
      <c r="W16" s="127">
        <f t="shared" si="2"/>
        <v>209</v>
      </c>
    </row>
    <row r="17" spans="1:23">
      <c r="A17" s="124"/>
      <c r="B17" s="125"/>
      <c r="C17" s="126">
        <v>560</v>
      </c>
      <c r="D17" s="127">
        <f t="shared" si="4"/>
        <v>30</v>
      </c>
      <c r="E17" s="127">
        <f t="shared" si="5"/>
        <v>30</v>
      </c>
      <c r="F17" s="127">
        <f t="shared" si="5"/>
        <v>30</v>
      </c>
      <c r="G17" s="127">
        <f t="shared" si="5"/>
        <v>37</v>
      </c>
      <c r="H17" s="127">
        <f t="shared" si="5"/>
        <v>62</v>
      </c>
      <c r="I17" s="127">
        <f t="shared" si="5"/>
        <v>83</v>
      </c>
      <c r="J17" s="127">
        <f t="shared" si="5"/>
        <v>118</v>
      </c>
      <c r="K17" s="127">
        <f t="shared" si="5"/>
        <v>150</v>
      </c>
      <c r="M17" s="128"/>
      <c r="N17" s="125"/>
      <c r="O17" s="126">
        <v>560</v>
      </c>
      <c r="P17" s="127">
        <f t="shared" si="3"/>
        <v>30</v>
      </c>
      <c r="Q17" s="127">
        <f t="shared" si="2"/>
        <v>30</v>
      </c>
      <c r="R17" s="127">
        <f t="shared" si="2"/>
        <v>35</v>
      </c>
      <c r="S17" s="127">
        <f t="shared" si="2"/>
        <v>48</v>
      </c>
      <c r="T17" s="127">
        <f t="shared" si="2"/>
        <v>81</v>
      </c>
      <c r="U17" s="127">
        <f t="shared" si="2"/>
        <v>108</v>
      </c>
      <c r="V17" s="127">
        <f t="shared" si="2"/>
        <v>154</v>
      </c>
      <c r="W17" s="127">
        <f t="shared" si="2"/>
        <v>195</v>
      </c>
    </row>
    <row r="19" spans="1:23">
      <c r="D19" s="130"/>
      <c r="E19" s="130"/>
      <c r="F19" s="130"/>
      <c r="G19" s="130"/>
      <c r="H19" s="130"/>
      <c r="I19" s="130"/>
      <c r="J19" s="130"/>
      <c r="K19" s="130"/>
    </row>
    <row r="20" spans="1:23" ht="24">
      <c r="A20" s="114" t="s">
        <v>80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M20" s="114" t="s">
        <v>81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</row>
    <row r="21" spans="1:23" ht="27" customHeight="1">
      <c r="A21" s="116" t="s">
        <v>75</v>
      </c>
      <c r="B21" s="121">
        <f>B2</f>
        <v>10</v>
      </c>
      <c r="C21" s="118"/>
      <c r="D21" s="119"/>
      <c r="E21" s="119"/>
      <c r="F21" s="119"/>
      <c r="G21" s="119"/>
      <c r="H21" s="119"/>
      <c r="I21" s="119"/>
      <c r="J21" s="118" t="s">
        <v>76</v>
      </c>
      <c r="K21" s="120" t="s">
        <v>0</v>
      </c>
      <c r="M21" s="116" t="s">
        <v>75</v>
      </c>
      <c r="N21" s="121">
        <f>N2</f>
        <v>10</v>
      </c>
      <c r="O21" s="118"/>
      <c r="P21" s="119"/>
      <c r="Q21" s="119"/>
      <c r="R21" s="119"/>
      <c r="S21" s="119"/>
      <c r="T21" s="119"/>
      <c r="U21" s="119"/>
      <c r="V21" s="118" t="s">
        <v>76</v>
      </c>
      <c r="W21" s="120" t="s">
        <v>0</v>
      </c>
    </row>
    <row r="22" spans="1:23" ht="33.75">
      <c r="A22" s="122" t="s">
        <v>77</v>
      </c>
      <c r="B22" s="122" t="s">
        <v>78</v>
      </c>
      <c r="C22" s="122" t="s">
        <v>79</v>
      </c>
      <c r="D22" s="123">
        <v>10</v>
      </c>
      <c r="E22" s="123">
        <v>13</v>
      </c>
      <c r="F22" s="123">
        <v>16</v>
      </c>
      <c r="G22" s="123">
        <v>19</v>
      </c>
      <c r="H22" s="123">
        <v>22</v>
      </c>
      <c r="I22" s="123">
        <v>25</v>
      </c>
      <c r="J22" s="123">
        <v>29</v>
      </c>
      <c r="K22" s="123">
        <v>32</v>
      </c>
      <c r="M22" s="122" t="s">
        <v>77</v>
      </c>
      <c r="N22" s="122" t="s">
        <v>78</v>
      </c>
      <c r="O22" s="122" t="s">
        <v>79</v>
      </c>
      <c r="P22" s="123">
        <v>10</v>
      </c>
      <c r="Q22" s="123">
        <v>13</v>
      </c>
      <c r="R22" s="123">
        <v>16</v>
      </c>
      <c r="S22" s="123">
        <v>19</v>
      </c>
      <c r="T22" s="123">
        <v>22</v>
      </c>
      <c r="U22" s="123">
        <v>25</v>
      </c>
      <c r="V22" s="123">
        <v>29</v>
      </c>
      <c r="W22" s="123">
        <v>32</v>
      </c>
    </row>
    <row r="23" spans="1:23">
      <c r="A23" s="128">
        <f>A4</f>
        <v>3</v>
      </c>
      <c r="B23" s="125">
        <v>2800</v>
      </c>
      <c r="C23" s="126">
        <v>210</v>
      </c>
      <c r="D23" s="127">
        <f t="shared" ref="D23:D29" si="6">ROUNDUP(MAX(IF(D$3&lt;22,1.3*0.8*0.28*$B$4/$C23^0.5*(D$3/10)*MIN(1,MAX(0.4,(D$3/10/(D$3/10/2+MIN($A$4,($B$2-2*D$3/10)/2))))),1.3*0.28*$B$4/$C23^0.5*(D$3/10)*MIN(1,MAX(0.4,(D$3/10/(D$3/10/2+MIN($A$4,($B$2-2*D$3/10)/2)))))),30),0)</f>
        <v>30</v>
      </c>
      <c r="E23" s="127">
        <f t="shared" ref="E23:K29" si="7">ROUNDUP(MAX(IF(E$3&lt;22,1.3*0.8*0.28*$B$4/$C23^0.5*(E$3/10)*MIN(1,MAX(0.4,(E$3/10/(E$3/10/2+MIN($A$4,($B$2-2*E$3/10)/2))))),1.3*0.28*$B$4/$C23^0.5*(E$3/10)*MIN(1,MAX(0.4,(E$3/10/(E$3/10/2+MIN($A$4,($B$2-2*E$3/10)/2)))))),30),0)</f>
        <v>30</v>
      </c>
      <c r="F23" s="127">
        <f t="shared" si="7"/>
        <v>38</v>
      </c>
      <c r="G23" s="127">
        <f t="shared" si="7"/>
        <v>52</v>
      </c>
      <c r="H23" s="127">
        <f t="shared" si="7"/>
        <v>88</v>
      </c>
      <c r="I23" s="127">
        <f t="shared" si="7"/>
        <v>118</v>
      </c>
      <c r="J23" s="127">
        <f t="shared" si="7"/>
        <v>167</v>
      </c>
      <c r="K23" s="127">
        <f t="shared" si="7"/>
        <v>212</v>
      </c>
      <c r="M23" s="128">
        <f>M4</f>
        <v>3</v>
      </c>
      <c r="N23" s="125">
        <v>2800</v>
      </c>
      <c r="O23" s="126">
        <v>210</v>
      </c>
      <c r="P23" s="127">
        <f t="shared" ref="P23:P29" si="8">ROUNDUP(MAX(IF(P$3&lt;22,1.3*1.3*0.8*0.28*$B$4/$C23^0.5*(P$3/10)*MIN(1,MAX(0.4,(P$3/10/(P$3/10/2+MIN($A$4,($B$2-2*P$3/10)/2))))),1.3*1.3*0.28*$B$4/$C23^0.5*(P$3/10)*MIN(1,MAX(0.4,(P$3/10/(P$3/10/2+MIN($A$4,($B$2-2*P$3/10)/2)))))),30),0)</f>
        <v>30</v>
      </c>
      <c r="Q23" s="127">
        <f t="shared" ref="Q23:W29" si="9">ROUNDUP(MAX(IF(Q$3&lt;22,1.3*1.3*0.8*0.28*$B$4/$C23^0.5*(Q$3/10)*MIN(1,MAX(0.4,(Q$3/10/(Q$3/10/2+MIN($A$4,($B$2-2*Q$3/10)/2))))),1.3*1.3*0.28*$B$4/$C23^0.5*(Q$3/10)*MIN(1,MAX(0.4,(Q$3/10/(Q$3/10/2+MIN($A$4,($B$2-2*Q$3/10)/2)))))),30),0)</f>
        <v>39</v>
      </c>
      <c r="R23" s="127">
        <f t="shared" si="9"/>
        <v>50</v>
      </c>
      <c r="S23" s="127">
        <f t="shared" si="9"/>
        <v>67</v>
      </c>
      <c r="T23" s="127">
        <f t="shared" si="9"/>
        <v>114</v>
      </c>
      <c r="U23" s="127">
        <f t="shared" si="9"/>
        <v>153</v>
      </c>
      <c r="V23" s="127">
        <f t="shared" si="9"/>
        <v>217</v>
      </c>
      <c r="W23" s="127">
        <f t="shared" si="9"/>
        <v>276</v>
      </c>
    </row>
    <row r="24" spans="1:23">
      <c r="A24" s="128"/>
      <c r="B24" s="125"/>
      <c r="C24" s="126">
        <v>245</v>
      </c>
      <c r="D24" s="127">
        <f t="shared" si="6"/>
        <v>30</v>
      </c>
      <c r="E24" s="127">
        <f t="shared" si="7"/>
        <v>30</v>
      </c>
      <c r="F24" s="127">
        <f t="shared" si="7"/>
        <v>36</v>
      </c>
      <c r="G24" s="127">
        <f t="shared" si="7"/>
        <v>48</v>
      </c>
      <c r="H24" s="127">
        <f t="shared" si="7"/>
        <v>81</v>
      </c>
      <c r="I24" s="127">
        <f t="shared" si="7"/>
        <v>109</v>
      </c>
      <c r="J24" s="127">
        <f t="shared" si="7"/>
        <v>155</v>
      </c>
      <c r="K24" s="127">
        <f t="shared" si="7"/>
        <v>197</v>
      </c>
      <c r="M24" s="128"/>
      <c r="N24" s="125"/>
      <c r="O24" s="126">
        <v>245</v>
      </c>
      <c r="P24" s="127">
        <f t="shared" si="8"/>
        <v>30</v>
      </c>
      <c r="Q24" s="127">
        <f t="shared" si="9"/>
        <v>36</v>
      </c>
      <c r="R24" s="127">
        <f t="shared" si="9"/>
        <v>46</v>
      </c>
      <c r="S24" s="127">
        <f t="shared" si="9"/>
        <v>62</v>
      </c>
      <c r="T24" s="127">
        <f t="shared" si="9"/>
        <v>106</v>
      </c>
      <c r="U24" s="127">
        <f t="shared" si="9"/>
        <v>142</v>
      </c>
      <c r="V24" s="127">
        <f t="shared" si="9"/>
        <v>201</v>
      </c>
      <c r="W24" s="127">
        <f t="shared" si="9"/>
        <v>255</v>
      </c>
    </row>
    <row r="25" spans="1:23">
      <c r="A25" s="128"/>
      <c r="B25" s="125"/>
      <c r="C25" s="126">
        <v>280</v>
      </c>
      <c r="D25" s="127">
        <f t="shared" si="6"/>
        <v>30</v>
      </c>
      <c r="E25" s="127">
        <f t="shared" si="7"/>
        <v>30</v>
      </c>
      <c r="F25" s="127">
        <f t="shared" si="7"/>
        <v>33</v>
      </c>
      <c r="G25" s="127">
        <f t="shared" si="7"/>
        <v>45</v>
      </c>
      <c r="H25" s="127">
        <f t="shared" si="7"/>
        <v>76</v>
      </c>
      <c r="I25" s="127">
        <f t="shared" si="7"/>
        <v>102</v>
      </c>
      <c r="J25" s="127">
        <f t="shared" si="7"/>
        <v>145</v>
      </c>
      <c r="K25" s="127">
        <f t="shared" si="7"/>
        <v>184</v>
      </c>
      <c r="M25" s="128"/>
      <c r="N25" s="125"/>
      <c r="O25" s="126">
        <v>280</v>
      </c>
      <c r="P25" s="127">
        <f t="shared" si="8"/>
        <v>30</v>
      </c>
      <c r="Q25" s="127">
        <f t="shared" si="9"/>
        <v>33</v>
      </c>
      <c r="R25" s="127">
        <f t="shared" si="9"/>
        <v>43</v>
      </c>
      <c r="S25" s="127">
        <f t="shared" si="9"/>
        <v>58</v>
      </c>
      <c r="T25" s="127">
        <f t="shared" si="9"/>
        <v>99</v>
      </c>
      <c r="U25" s="127">
        <f t="shared" si="9"/>
        <v>132</v>
      </c>
      <c r="V25" s="127">
        <f t="shared" si="9"/>
        <v>188</v>
      </c>
      <c r="W25" s="127">
        <f t="shared" si="9"/>
        <v>239</v>
      </c>
    </row>
    <row r="26" spans="1:23">
      <c r="A26" s="128"/>
      <c r="B26" s="125"/>
      <c r="C26" s="126">
        <v>350</v>
      </c>
      <c r="D26" s="127">
        <f t="shared" si="6"/>
        <v>30</v>
      </c>
      <c r="E26" s="127">
        <f t="shared" si="7"/>
        <v>30</v>
      </c>
      <c r="F26" s="127">
        <f t="shared" si="7"/>
        <v>30</v>
      </c>
      <c r="G26" s="127">
        <f t="shared" si="7"/>
        <v>40</v>
      </c>
      <c r="H26" s="127">
        <f t="shared" si="7"/>
        <v>68</v>
      </c>
      <c r="I26" s="127">
        <f t="shared" si="7"/>
        <v>91</v>
      </c>
      <c r="J26" s="127">
        <f t="shared" si="7"/>
        <v>130</v>
      </c>
      <c r="K26" s="127">
        <f t="shared" si="7"/>
        <v>165</v>
      </c>
      <c r="M26" s="128"/>
      <c r="N26" s="125"/>
      <c r="O26" s="126">
        <v>350</v>
      </c>
      <c r="P26" s="127">
        <f t="shared" si="8"/>
        <v>30</v>
      </c>
      <c r="Q26" s="127">
        <f t="shared" si="9"/>
        <v>30</v>
      </c>
      <c r="R26" s="127">
        <f t="shared" si="9"/>
        <v>39</v>
      </c>
      <c r="S26" s="127">
        <f t="shared" si="9"/>
        <v>52</v>
      </c>
      <c r="T26" s="127">
        <f t="shared" si="9"/>
        <v>88</v>
      </c>
      <c r="U26" s="127">
        <f t="shared" si="9"/>
        <v>119</v>
      </c>
      <c r="V26" s="127">
        <f t="shared" si="9"/>
        <v>168</v>
      </c>
      <c r="W26" s="127">
        <f t="shared" si="9"/>
        <v>214</v>
      </c>
    </row>
    <row r="27" spans="1:23">
      <c r="A27" s="128"/>
      <c r="B27" s="125"/>
      <c r="C27" s="126">
        <v>420</v>
      </c>
      <c r="D27" s="127">
        <f t="shared" si="6"/>
        <v>30</v>
      </c>
      <c r="E27" s="127">
        <f t="shared" si="7"/>
        <v>30</v>
      </c>
      <c r="F27" s="127">
        <f t="shared" si="7"/>
        <v>30</v>
      </c>
      <c r="G27" s="127">
        <f t="shared" si="7"/>
        <v>37</v>
      </c>
      <c r="H27" s="127">
        <f t="shared" si="7"/>
        <v>62</v>
      </c>
      <c r="I27" s="127">
        <f t="shared" si="7"/>
        <v>83</v>
      </c>
      <c r="J27" s="127">
        <f t="shared" si="7"/>
        <v>118</v>
      </c>
      <c r="K27" s="127">
        <f t="shared" si="7"/>
        <v>150</v>
      </c>
      <c r="M27" s="128"/>
      <c r="N27" s="125"/>
      <c r="O27" s="126">
        <v>420</v>
      </c>
      <c r="P27" s="127">
        <f t="shared" si="8"/>
        <v>30</v>
      </c>
      <c r="Q27" s="127">
        <f t="shared" si="9"/>
        <v>30</v>
      </c>
      <c r="R27" s="127">
        <f t="shared" si="9"/>
        <v>35</v>
      </c>
      <c r="S27" s="127">
        <f t="shared" si="9"/>
        <v>48</v>
      </c>
      <c r="T27" s="127">
        <f t="shared" si="9"/>
        <v>81</v>
      </c>
      <c r="U27" s="127">
        <f t="shared" si="9"/>
        <v>108</v>
      </c>
      <c r="V27" s="127">
        <f t="shared" si="9"/>
        <v>154</v>
      </c>
      <c r="W27" s="127">
        <f t="shared" si="9"/>
        <v>195</v>
      </c>
    </row>
    <row r="28" spans="1:23">
      <c r="A28" s="128"/>
      <c r="B28" s="125"/>
      <c r="C28" s="126">
        <v>490</v>
      </c>
      <c r="D28" s="127">
        <f t="shared" si="6"/>
        <v>30</v>
      </c>
      <c r="E28" s="127">
        <f t="shared" si="7"/>
        <v>30</v>
      </c>
      <c r="F28" s="127">
        <f t="shared" si="7"/>
        <v>30</v>
      </c>
      <c r="G28" s="127">
        <f t="shared" si="7"/>
        <v>34</v>
      </c>
      <c r="H28" s="127">
        <f t="shared" si="7"/>
        <v>58</v>
      </c>
      <c r="I28" s="127">
        <f t="shared" si="7"/>
        <v>77</v>
      </c>
      <c r="J28" s="127">
        <f t="shared" si="7"/>
        <v>110</v>
      </c>
      <c r="K28" s="127">
        <f t="shared" si="7"/>
        <v>139</v>
      </c>
      <c r="M28" s="128"/>
      <c r="N28" s="125"/>
      <c r="O28" s="126">
        <v>490</v>
      </c>
      <c r="P28" s="127">
        <f t="shared" si="8"/>
        <v>30</v>
      </c>
      <c r="Q28" s="127">
        <f t="shared" si="9"/>
        <v>30</v>
      </c>
      <c r="R28" s="127">
        <f t="shared" si="9"/>
        <v>33</v>
      </c>
      <c r="S28" s="127">
        <f t="shared" si="9"/>
        <v>44</v>
      </c>
      <c r="T28" s="127">
        <f t="shared" si="9"/>
        <v>75</v>
      </c>
      <c r="U28" s="127">
        <f t="shared" si="9"/>
        <v>100</v>
      </c>
      <c r="V28" s="127">
        <f t="shared" si="9"/>
        <v>142</v>
      </c>
      <c r="W28" s="127">
        <f t="shared" si="9"/>
        <v>181</v>
      </c>
    </row>
    <row r="29" spans="1:23">
      <c r="A29" s="128"/>
      <c r="B29" s="125"/>
      <c r="C29" s="126">
        <v>560</v>
      </c>
      <c r="D29" s="127">
        <f t="shared" si="6"/>
        <v>30</v>
      </c>
      <c r="E29" s="127">
        <f t="shared" si="7"/>
        <v>30</v>
      </c>
      <c r="F29" s="127">
        <f t="shared" si="7"/>
        <v>30</v>
      </c>
      <c r="G29" s="127">
        <f t="shared" si="7"/>
        <v>32</v>
      </c>
      <c r="H29" s="127">
        <f t="shared" si="7"/>
        <v>54</v>
      </c>
      <c r="I29" s="127">
        <f t="shared" si="7"/>
        <v>72</v>
      </c>
      <c r="J29" s="127">
        <f t="shared" si="7"/>
        <v>103</v>
      </c>
      <c r="K29" s="127">
        <f t="shared" si="7"/>
        <v>130</v>
      </c>
      <c r="M29" s="128"/>
      <c r="N29" s="125"/>
      <c r="O29" s="126">
        <v>560</v>
      </c>
      <c r="P29" s="127">
        <f t="shared" si="8"/>
        <v>30</v>
      </c>
      <c r="Q29" s="127">
        <f t="shared" si="9"/>
        <v>30</v>
      </c>
      <c r="R29" s="127">
        <f t="shared" si="9"/>
        <v>31</v>
      </c>
      <c r="S29" s="127">
        <f t="shared" si="9"/>
        <v>41</v>
      </c>
      <c r="T29" s="127">
        <f t="shared" si="9"/>
        <v>70</v>
      </c>
      <c r="U29" s="127">
        <f t="shared" si="9"/>
        <v>94</v>
      </c>
      <c r="V29" s="127">
        <f t="shared" si="9"/>
        <v>133</v>
      </c>
      <c r="W29" s="127">
        <f t="shared" si="9"/>
        <v>169</v>
      </c>
    </row>
    <row r="30" spans="1:23">
      <c r="A30" s="128"/>
      <c r="B30" s="125">
        <v>4200</v>
      </c>
      <c r="C30" s="126">
        <v>210</v>
      </c>
      <c r="D30" s="127">
        <f t="shared" ref="D30:D36" si="10">ROUNDUP(MAX(IF(D$3&lt;22,1.3*0.8*0.28*$B$11/$C30^0.5*(D$3/10)*MIN(1,MAX(0.4,(D$3/10/(D$3/10/2+MIN($A$4,($B$2-2*D$3/10)/2))))),1.3*0.28*$B$11/$C30^0.5*(D$3/10)*MIN(1,MAX(0.4,(D$3/10/(D$3/10/2+MIN($A$4,($B$2-2*D$3/10)/2)))))),30),0)</f>
        <v>34</v>
      </c>
      <c r="E30" s="127">
        <f t="shared" ref="E30:K36" si="11">ROUNDUP(MAX(IF(E$3&lt;22,1.3*0.8*0.28*$B$11/$C30^0.5*(E$3/10)*MIN(1,MAX(0.4,(E$3/10/(E$3/10/2+MIN($A$4,($B$2-2*E$3/10)/2))))),1.3*0.28*$B$11/$C30^0.5*(E$3/10)*MIN(1,MAX(0.4,(E$3/10/(E$3/10/2+MIN($A$4,($B$2-2*E$3/10)/2)))))),30),0)</f>
        <v>44</v>
      </c>
      <c r="F30" s="127">
        <f t="shared" si="11"/>
        <v>57</v>
      </c>
      <c r="G30" s="127">
        <f t="shared" si="11"/>
        <v>78</v>
      </c>
      <c r="H30" s="127">
        <f t="shared" si="11"/>
        <v>131</v>
      </c>
      <c r="I30" s="127">
        <f t="shared" si="11"/>
        <v>176</v>
      </c>
      <c r="J30" s="127">
        <f t="shared" si="11"/>
        <v>250</v>
      </c>
      <c r="K30" s="127">
        <f t="shared" si="11"/>
        <v>318</v>
      </c>
      <c r="M30" s="128"/>
      <c r="N30" s="125">
        <v>4200</v>
      </c>
      <c r="O30" s="126">
        <v>210</v>
      </c>
      <c r="P30" s="127">
        <f t="shared" ref="P30:P36" si="12">ROUNDUP(MAX(IF(P$3&lt;22,1.3*1.3*0.8*0.28*$B$11/$C30^0.5*(P$3/10)*MIN(1,MAX(0.4,(P$3/10/(P$3/10/2+MIN($A$4,($B$2-2*P$3/10)/2))))),1.3*1.3*0.28*$B$11/$C30^0.5*(P$3/10)*MIN(1,MAX(0.4,(P$3/10/(P$3/10/2+MIN($A$4,($B$2-2*P$3/10)/2)))))),30),0)</f>
        <v>44</v>
      </c>
      <c r="Q30" s="127">
        <f t="shared" ref="Q30:W36" si="13">ROUNDUP(MAX(IF(Q$3&lt;22,1.3*1.3*0.8*0.28*$B$11/$C30^0.5*(Q$3/10)*MIN(1,MAX(0.4,(Q$3/10/(Q$3/10/2+MIN($A$4,($B$2-2*Q$3/10)/2))))),1.3*1.3*0.28*$B$11/$C30^0.5*(Q$3/10)*MIN(1,MAX(0.4,(Q$3/10/(Q$3/10/2+MIN($A$4,($B$2-2*Q$3/10)/2)))))),30),0)</f>
        <v>58</v>
      </c>
      <c r="R30" s="127">
        <f t="shared" si="13"/>
        <v>74</v>
      </c>
      <c r="S30" s="127">
        <f t="shared" si="13"/>
        <v>101</v>
      </c>
      <c r="T30" s="127">
        <f t="shared" si="13"/>
        <v>171</v>
      </c>
      <c r="U30" s="127">
        <f t="shared" si="13"/>
        <v>229</v>
      </c>
      <c r="V30" s="127">
        <f t="shared" si="13"/>
        <v>325</v>
      </c>
      <c r="W30" s="127">
        <f t="shared" si="13"/>
        <v>414</v>
      </c>
    </row>
    <row r="31" spans="1:23">
      <c r="A31" s="128"/>
      <c r="B31" s="125"/>
      <c r="C31" s="126">
        <v>245</v>
      </c>
      <c r="D31" s="127">
        <f t="shared" si="10"/>
        <v>32</v>
      </c>
      <c r="E31" s="127">
        <f t="shared" si="11"/>
        <v>41</v>
      </c>
      <c r="F31" s="127">
        <f t="shared" si="11"/>
        <v>53</v>
      </c>
      <c r="G31" s="127">
        <f t="shared" si="11"/>
        <v>72</v>
      </c>
      <c r="H31" s="127">
        <f t="shared" si="11"/>
        <v>122</v>
      </c>
      <c r="I31" s="127">
        <f t="shared" si="11"/>
        <v>163</v>
      </c>
      <c r="J31" s="127">
        <f t="shared" si="11"/>
        <v>232</v>
      </c>
      <c r="K31" s="127">
        <f t="shared" si="11"/>
        <v>295</v>
      </c>
      <c r="M31" s="128"/>
      <c r="N31" s="125"/>
      <c r="O31" s="126">
        <v>245</v>
      </c>
      <c r="P31" s="127">
        <f t="shared" si="12"/>
        <v>41</v>
      </c>
      <c r="Q31" s="127">
        <f t="shared" si="13"/>
        <v>53</v>
      </c>
      <c r="R31" s="127">
        <f t="shared" si="13"/>
        <v>69</v>
      </c>
      <c r="S31" s="127">
        <f t="shared" si="13"/>
        <v>93</v>
      </c>
      <c r="T31" s="127">
        <f t="shared" si="13"/>
        <v>158</v>
      </c>
      <c r="U31" s="127">
        <f t="shared" si="13"/>
        <v>212</v>
      </c>
      <c r="V31" s="127">
        <f t="shared" si="13"/>
        <v>301</v>
      </c>
      <c r="W31" s="127">
        <f t="shared" si="13"/>
        <v>383</v>
      </c>
    </row>
    <row r="32" spans="1:23">
      <c r="A32" s="128"/>
      <c r="B32" s="125"/>
      <c r="C32" s="126">
        <v>280</v>
      </c>
      <c r="D32" s="127">
        <f t="shared" si="10"/>
        <v>30</v>
      </c>
      <c r="E32" s="127">
        <f t="shared" si="11"/>
        <v>39</v>
      </c>
      <c r="F32" s="127">
        <f t="shared" si="11"/>
        <v>50</v>
      </c>
      <c r="G32" s="127">
        <f t="shared" si="11"/>
        <v>67</v>
      </c>
      <c r="H32" s="127">
        <f t="shared" si="11"/>
        <v>114</v>
      </c>
      <c r="I32" s="127">
        <f t="shared" si="11"/>
        <v>153</v>
      </c>
      <c r="J32" s="127">
        <f t="shared" si="11"/>
        <v>217</v>
      </c>
      <c r="K32" s="127">
        <f t="shared" si="11"/>
        <v>276</v>
      </c>
      <c r="M32" s="128"/>
      <c r="N32" s="125"/>
      <c r="O32" s="126">
        <v>280</v>
      </c>
      <c r="P32" s="127">
        <f t="shared" si="12"/>
        <v>39</v>
      </c>
      <c r="Q32" s="127">
        <f t="shared" si="13"/>
        <v>50</v>
      </c>
      <c r="R32" s="127">
        <f t="shared" si="13"/>
        <v>65</v>
      </c>
      <c r="S32" s="127">
        <f t="shared" si="13"/>
        <v>87</v>
      </c>
      <c r="T32" s="127">
        <f t="shared" si="13"/>
        <v>148</v>
      </c>
      <c r="U32" s="129">
        <f t="shared" si="13"/>
        <v>198</v>
      </c>
      <c r="V32" s="127">
        <f t="shared" si="13"/>
        <v>282</v>
      </c>
      <c r="W32" s="127">
        <f t="shared" si="13"/>
        <v>358</v>
      </c>
    </row>
    <row r="33" spans="1:23">
      <c r="A33" s="128"/>
      <c r="B33" s="125"/>
      <c r="C33" s="126">
        <v>350</v>
      </c>
      <c r="D33" s="127">
        <f t="shared" si="10"/>
        <v>30</v>
      </c>
      <c r="E33" s="127">
        <f t="shared" si="11"/>
        <v>34</v>
      </c>
      <c r="F33" s="127">
        <f t="shared" si="11"/>
        <v>45</v>
      </c>
      <c r="G33" s="127">
        <f t="shared" si="11"/>
        <v>60</v>
      </c>
      <c r="H33" s="127">
        <f t="shared" si="11"/>
        <v>102</v>
      </c>
      <c r="I33" s="127">
        <f t="shared" si="11"/>
        <v>137</v>
      </c>
      <c r="J33" s="127">
        <f t="shared" si="11"/>
        <v>194</v>
      </c>
      <c r="K33" s="127">
        <f t="shared" si="11"/>
        <v>247</v>
      </c>
      <c r="M33" s="128"/>
      <c r="N33" s="125"/>
      <c r="O33" s="126">
        <v>350</v>
      </c>
      <c r="P33" s="127">
        <f t="shared" si="12"/>
        <v>34</v>
      </c>
      <c r="Q33" s="127">
        <f t="shared" si="13"/>
        <v>45</v>
      </c>
      <c r="R33" s="127">
        <f t="shared" si="13"/>
        <v>58</v>
      </c>
      <c r="S33" s="127">
        <f t="shared" si="13"/>
        <v>78</v>
      </c>
      <c r="T33" s="127">
        <f t="shared" si="13"/>
        <v>132</v>
      </c>
      <c r="U33" s="127">
        <f t="shared" si="13"/>
        <v>178</v>
      </c>
      <c r="V33" s="127">
        <f t="shared" si="13"/>
        <v>252</v>
      </c>
      <c r="W33" s="127">
        <f t="shared" si="13"/>
        <v>320</v>
      </c>
    </row>
    <row r="34" spans="1:23">
      <c r="A34" s="128"/>
      <c r="B34" s="125"/>
      <c r="C34" s="126">
        <v>420</v>
      </c>
      <c r="D34" s="127">
        <f t="shared" si="10"/>
        <v>30</v>
      </c>
      <c r="E34" s="127">
        <f t="shared" si="11"/>
        <v>32</v>
      </c>
      <c r="F34" s="127">
        <f t="shared" si="11"/>
        <v>41</v>
      </c>
      <c r="G34" s="127">
        <f t="shared" si="11"/>
        <v>55</v>
      </c>
      <c r="H34" s="127">
        <f t="shared" si="11"/>
        <v>93</v>
      </c>
      <c r="I34" s="127">
        <f t="shared" si="11"/>
        <v>125</v>
      </c>
      <c r="J34" s="127">
        <f t="shared" si="11"/>
        <v>177</v>
      </c>
      <c r="K34" s="127">
        <f t="shared" si="11"/>
        <v>225</v>
      </c>
      <c r="M34" s="128"/>
      <c r="N34" s="125"/>
      <c r="O34" s="126">
        <v>420</v>
      </c>
      <c r="P34" s="127">
        <f t="shared" si="12"/>
        <v>32</v>
      </c>
      <c r="Q34" s="127">
        <f t="shared" si="13"/>
        <v>41</v>
      </c>
      <c r="R34" s="127">
        <f t="shared" si="13"/>
        <v>53</v>
      </c>
      <c r="S34" s="127">
        <f t="shared" si="13"/>
        <v>71</v>
      </c>
      <c r="T34" s="127">
        <f t="shared" si="13"/>
        <v>121</v>
      </c>
      <c r="U34" s="127">
        <f t="shared" si="13"/>
        <v>162</v>
      </c>
      <c r="V34" s="127">
        <f t="shared" si="13"/>
        <v>230</v>
      </c>
      <c r="W34" s="127">
        <f t="shared" si="13"/>
        <v>293</v>
      </c>
    </row>
    <row r="35" spans="1:23">
      <c r="A35" s="128"/>
      <c r="B35" s="125"/>
      <c r="C35" s="126">
        <v>490</v>
      </c>
      <c r="D35" s="127">
        <f t="shared" si="10"/>
        <v>30</v>
      </c>
      <c r="E35" s="127">
        <f t="shared" si="11"/>
        <v>30</v>
      </c>
      <c r="F35" s="127">
        <f t="shared" si="11"/>
        <v>38</v>
      </c>
      <c r="G35" s="127">
        <f t="shared" si="11"/>
        <v>51</v>
      </c>
      <c r="H35" s="127">
        <f t="shared" si="11"/>
        <v>86</v>
      </c>
      <c r="I35" s="127">
        <f t="shared" si="11"/>
        <v>116</v>
      </c>
      <c r="J35" s="127">
        <f t="shared" si="11"/>
        <v>164</v>
      </c>
      <c r="K35" s="127">
        <f t="shared" si="11"/>
        <v>209</v>
      </c>
      <c r="M35" s="128"/>
      <c r="N35" s="125"/>
      <c r="O35" s="126">
        <v>490</v>
      </c>
      <c r="P35" s="127">
        <f t="shared" si="12"/>
        <v>30</v>
      </c>
      <c r="Q35" s="127">
        <f t="shared" si="13"/>
        <v>38</v>
      </c>
      <c r="R35" s="127">
        <f t="shared" si="13"/>
        <v>49</v>
      </c>
      <c r="S35" s="127">
        <f t="shared" si="13"/>
        <v>66</v>
      </c>
      <c r="T35" s="127">
        <f t="shared" si="13"/>
        <v>112</v>
      </c>
      <c r="U35" s="127">
        <f t="shared" si="13"/>
        <v>150</v>
      </c>
      <c r="V35" s="127">
        <f t="shared" si="13"/>
        <v>213</v>
      </c>
      <c r="W35" s="127">
        <f t="shared" si="13"/>
        <v>271</v>
      </c>
    </row>
    <row r="36" spans="1:23">
      <c r="A36" s="128"/>
      <c r="B36" s="125"/>
      <c r="C36" s="126">
        <v>560</v>
      </c>
      <c r="D36" s="127">
        <f t="shared" si="10"/>
        <v>30</v>
      </c>
      <c r="E36" s="127">
        <f t="shared" si="11"/>
        <v>30</v>
      </c>
      <c r="F36" s="127">
        <f t="shared" si="11"/>
        <v>35</v>
      </c>
      <c r="G36" s="127">
        <f t="shared" si="11"/>
        <v>48</v>
      </c>
      <c r="H36" s="127">
        <f t="shared" si="11"/>
        <v>81</v>
      </c>
      <c r="I36" s="127">
        <f t="shared" si="11"/>
        <v>108</v>
      </c>
      <c r="J36" s="127">
        <f t="shared" si="11"/>
        <v>154</v>
      </c>
      <c r="K36" s="127">
        <f t="shared" si="11"/>
        <v>195</v>
      </c>
      <c r="M36" s="128"/>
      <c r="N36" s="125"/>
      <c r="O36" s="126">
        <v>560</v>
      </c>
      <c r="P36" s="127">
        <f t="shared" si="12"/>
        <v>30</v>
      </c>
      <c r="Q36" s="127">
        <f t="shared" si="13"/>
        <v>35</v>
      </c>
      <c r="R36" s="127">
        <f t="shared" si="13"/>
        <v>46</v>
      </c>
      <c r="S36" s="127">
        <f t="shared" si="13"/>
        <v>62</v>
      </c>
      <c r="T36" s="127">
        <f t="shared" si="13"/>
        <v>105</v>
      </c>
      <c r="U36" s="127">
        <f t="shared" si="13"/>
        <v>140</v>
      </c>
      <c r="V36" s="127">
        <f t="shared" si="13"/>
        <v>199</v>
      </c>
      <c r="W36" s="127">
        <f t="shared" si="13"/>
        <v>253</v>
      </c>
    </row>
  </sheetData>
  <mergeCells count="16">
    <mergeCell ref="A20:K20"/>
    <mergeCell ref="M20:W20"/>
    <mergeCell ref="A23:A36"/>
    <mergeCell ref="B23:B29"/>
    <mergeCell ref="M23:M36"/>
    <mergeCell ref="N23:N29"/>
    <mergeCell ref="B30:B36"/>
    <mergeCell ref="N30:N36"/>
    <mergeCell ref="A1:K1"/>
    <mergeCell ref="M1:W1"/>
    <mergeCell ref="A4:A17"/>
    <mergeCell ref="B4:B10"/>
    <mergeCell ref="M4:M17"/>
    <mergeCell ref="N4:N10"/>
    <mergeCell ref="B11:B17"/>
    <mergeCell ref="N11:N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D87C-1EFD-4024-BFD7-6546BF4C6E28}">
  <sheetPr codeName="工作表5">
    <tabColor rgb="FFFFC000"/>
    <pageSetUpPr fitToPage="1"/>
  </sheetPr>
  <dimension ref="A1:S81"/>
  <sheetViews>
    <sheetView zoomScale="85" zoomScaleNormal="85" zoomScaleSheetLayoutView="25" workbookViewId="0">
      <selection activeCell="R35" sqref="R35"/>
    </sheetView>
  </sheetViews>
  <sheetFormatPr defaultColWidth="9" defaultRowHeight="15.75"/>
  <cols>
    <col min="1" max="1" width="9" style="45"/>
    <col min="2" max="2" width="9.625" style="45" customWidth="1"/>
    <col min="3" max="4" width="9" style="45" customWidth="1"/>
    <col min="5" max="5" width="10.125" style="45" bestFit="1" customWidth="1"/>
    <col min="6" max="6" width="8" style="45" bestFit="1" customWidth="1"/>
    <col min="7" max="7" width="10.875" style="45" bestFit="1" customWidth="1"/>
    <col min="8" max="8" width="10.25" style="45" bestFit="1" customWidth="1"/>
    <col min="9" max="9" width="14.625" style="45" bestFit="1" customWidth="1"/>
    <col min="10" max="10" width="10.125" style="45" bestFit="1" customWidth="1"/>
    <col min="11" max="11" width="10.25" style="45" bestFit="1" customWidth="1"/>
    <col min="12" max="12" width="10.125" style="45" bestFit="1" customWidth="1"/>
    <col min="13" max="15" width="9" style="45" customWidth="1"/>
    <col min="16" max="16" width="9" style="45"/>
    <col min="17" max="17" width="80.625" style="45" customWidth="1"/>
    <col min="18" max="18" width="10.75" style="45" bestFit="1" customWidth="1"/>
    <col min="19" max="16384" width="9" style="45"/>
  </cols>
  <sheetData>
    <row r="1" spans="1:19">
      <c r="A1" s="45" t="s">
        <v>42</v>
      </c>
      <c r="B1" s="46">
        <f ca="1">NOW()</f>
        <v>43336.604599305552</v>
      </c>
    </row>
    <row r="2" spans="1:19">
      <c r="A2" s="45" t="s">
        <v>43</v>
      </c>
      <c r="B2" s="47" t="s">
        <v>46</v>
      </c>
    </row>
    <row r="3" spans="1:19">
      <c r="A3" s="45" t="s">
        <v>13</v>
      </c>
      <c r="B3" s="47" t="s">
        <v>47</v>
      </c>
    </row>
    <row r="5" spans="1:19" ht="17.25" customHeight="1" thickBot="1">
      <c r="B5" s="104"/>
      <c r="C5" s="48"/>
      <c r="D5" s="49"/>
      <c r="E5" s="107" t="s">
        <v>48</v>
      </c>
      <c r="F5" s="107"/>
      <c r="G5" s="107"/>
      <c r="H5" s="107"/>
      <c r="I5" s="107"/>
      <c r="J5" s="107"/>
      <c r="K5" s="107"/>
      <c r="L5" s="107"/>
      <c r="M5" s="50"/>
      <c r="N5" s="49"/>
      <c r="O5" s="49"/>
      <c r="P5" s="51"/>
      <c r="Q5" s="101" t="s">
        <v>49</v>
      </c>
      <c r="R5" s="108"/>
      <c r="S5" s="109"/>
    </row>
    <row r="6" spans="1:19" ht="16.5" thickTop="1">
      <c r="B6" s="105"/>
      <c r="C6" s="52"/>
      <c r="E6" s="45" t="s">
        <v>50</v>
      </c>
      <c r="F6" s="45" t="s">
        <v>51</v>
      </c>
      <c r="G6" s="45" t="s">
        <v>52</v>
      </c>
      <c r="H6" s="45" t="s">
        <v>53</v>
      </c>
      <c r="I6" s="45" t="s">
        <v>54</v>
      </c>
      <c r="J6" s="45" t="s">
        <v>55</v>
      </c>
      <c r="K6" s="45" t="s">
        <v>56</v>
      </c>
      <c r="L6" s="45" t="s">
        <v>57</v>
      </c>
      <c r="M6" s="53"/>
      <c r="N6" s="53"/>
      <c r="O6" s="53"/>
      <c r="P6" s="54"/>
      <c r="Q6" s="102"/>
      <c r="R6" s="110"/>
      <c r="S6" s="111"/>
    </row>
    <row r="7" spans="1:19">
      <c r="B7" s="105"/>
      <c r="C7" s="52"/>
      <c r="E7" s="45" t="s">
        <v>25</v>
      </c>
      <c r="F7" s="45" t="s">
        <v>26</v>
      </c>
      <c r="G7" s="45" t="s">
        <v>27</v>
      </c>
      <c r="H7" s="45" t="s">
        <v>29</v>
      </c>
      <c r="I7" s="45" t="s">
        <v>0</v>
      </c>
      <c r="J7" s="45" t="s">
        <v>44</v>
      </c>
      <c r="K7" s="45" t="s">
        <v>29</v>
      </c>
      <c r="L7" s="45" t="s">
        <v>26</v>
      </c>
      <c r="M7" s="53"/>
      <c r="N7" s="53"/>
      <c r="O7" s="53"/>
      <c r="P7" s="54"/>
      <c r="Q7" s="102"/>
      <c r="R7" s="110"/>
      <c r="S7" s="111"/>
    </row>
    <row r="8" spans="1:19">
      <c r="B8" s="105"/>
      <c r="C8" s="52"/>
      <c r="E8" s="55">
        <v>19</v>
      </c>
      <c r="F8" s="56">
        <v>2</v>
      </c>
      <c r="G8" s="56">
        <v>350</v>
      </c>
      <c r="H8" s="56">
        <v>4200</v>
      </c>
      <c r="I8" s="56">
        <v>15</v>
      </c>
      <c r="J8" s="57">
        <v>19</v>
      </c>
      <c r="K8" s="58">
        <v>4200</v>
      </c>
      <c r="L8" s="58">
        <v>15</v>
      </c>
      <c r="M8" s="59"/>
      <c r="N8" s="53"/>
      <c r="O8" s="53"/>
      <c r="P8" s="54"/>
      <c r="Q8" s="102"/>
      <c r="R8" s="110"/>
      <c r="S8" s="111"/>
    </row>
    <row r="9" spans="1:19">
      <c r="B9" s="106"/>
      <c r="C9" s="60"/>
      <c r="E9" s="61">
        <f>E8/10</f>
        <v>1.9</v>
      </c>
      <c r="J9" s="61">
        <f>J8/10</f>
        <v>1.9</v>
      </c>
      <c r="M9" s="62"/>
      <c r="N9" s="62"/>
      <c r="O9" s="62"/>
      <c r="P9" s="63"/>
      <c r="Q9" s="103"/>
      <c r="R9" s="112"/>
      <c r="S9" s="113"/>
    </row>
    <row r="10" spans="1:19">
      <c r="B10" s="104">
        <v>1</v>
      </c>
      <c r="C10" s="64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7"/>
      <c r="Q10" s="64"/>
      <c r="R10" s="66"/>
      <c r="S10" s="67"/>
    </row>
    <row r="11" spans="1:19">
      <c r="B11" s="105"/>
      <c r="C11" s="52"/>
      <c r="D11" s="68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4"/>
      <c r="Q11" s="52"/>
      <c r="R11" s="53"/>
      <c r="S11" s="54"/>
    </row>
    <row r="12" spans="1:19">
      <c r="B12" s="105"/>
      <c r="C12" s="52"/>
      <c r="D12" s="68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Q12" s="52"/>
      <c r="R12" s="53"/>
      <c r="S12" s="54"/>
    </row>
    <row r="13" spans="1:19">
      <c r="B13" s="105"/>
      <c r="C13" s="52"/>
      <c r="D13" s="68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52"/>
      <c r="R13" s="53"/>
      <c r="S13" s="54"/>
    </row>
    <row r="14" spans="1:19">
      <c r="B14" s="105"/>
      <c r="C14" s="52"/>
      <c r="D14" s="68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/>
      <c r="Q14" s="52"/>
      <c r="R14" s="53"/>
      <c r="S14" s="54"/>
    </row>
    <row r="15" spans="1:19" ht="18.75">
      <c r="B15" s="105"/>
      <c r="C15" s="52"/>
      <c r="D15" s="6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69" t="s">
        <v>58</v>
      </c>
      <c r="R15" s="53">
        <f>'算例-版與一般牆-2st'!F8+'算例-版與一般牆-2st'!J9</f>
        <v>3.9</v>
      </c>
      <c r="S15" s="54" t="s">
        <v>26</v>
      </c>
    </row>
    <row r="16" spans="1:19" ht="18.75">
      <c r="B16" s="105"/>
      <c r="C16" s="52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69" t="s">
        <v>59</v>
      </c>
      <c r="R16" s="53">
        <f>('算例-版與一般牆-2st'!I8-'算例-版與一般牆-2st'!E9*2)/2</f>
        <v>5.6</v>
      </c>
      <c r="S16" s="54" t="s">
        <v>0</v>
      </c>
    </row>
    <row r="17" spans="2:19" ht="18.75">
      <c r="B17" s="105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69" t="s">
        <v>60</v>
      </c>
      <c r="R17" s="53">
        <f>'算例-版與一般牆-2st'!E9/2+MIN(R15,R16)</f>
        <v>4.8499999999999996</v>
      </c>
      <c r="S17" s="54" t="s">
        <v>0</v>
      </c>
    </row>
    <row r="18" spans="2:19">
      <c r="B18" s="105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4"/>
      <c r="Q18" s="52"/>
      <c r="R18" s="53"/>
      <c r="S18" s="54"/>
    </row>
    <row r="19" spans="2:19">
      <c r="B19" s="105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52"/>
      <c r="R19" s="53"/>
      <c r="S19" s="54"/>
    </row>
    <row r="20" spans="2:19">
      <c r="B20" s="10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52"/>
      <c r="R20" s="53"/>
      <c r="S20" s="54"/>
    </row>
    <row r="21" spans="2:19">
      <c r="B21" s="105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52"/>
      <c r="R21" s="53"/>
      <c r="S21" s="54"/>
    </row>
    <row r="22" spans="2:19">
      <c r="B22" s="106"/>
      <c r="C22" s="60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  <c r="Q22" s="60"/>
      <c r="R22" s="62"/>
      <c r="S22" s="63"/>
    </row>
    <row r="23" spans="2:19">
      <c r="B23" s="104">
        <v>2</v>
      </c>
      <c r="C23" s="64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7"/>
      <c r="Q23" s="64"/>
      <c r="R23" s="66"/>
      <c r="S23" s="67"/>
    </row>
    <row r="24" spans="2:19" ht="18.75">
      <c r="B24" s="105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70"/>
      <c r="R24" s="71"/>
      <c r="S24" s="72"/>
    </row>
    <row r="25" spans="2:19" ht="18.75">
      <c r="B25" s="105"/>
      <c r="C25" s="52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70"/>
      <c r="R25" s="73"/>
      <c r="S25" s="72"/>
    </row>
    <row r="26" spans="2:19" ht="18.75">
      <c r="B26" s="105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70"/>
      <c r="R26" s="73"/>
      <c r="S26" s="72"/>
    </row>
    <row r="27" spans="2:19" ht="18.75">
      <c r="B27" s="105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70"/>
      <c r="R27" s="74"/>
      <c r="S27" s="72"/>
    </row>
    <row r="28" spans="2:19" ht="18.75">
      <c r="B28" s="105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4"/>
      <c r="Q28" s="70" t="s">
        <v>61</v>
      </c>
      <c r="R28" s="75"/>
      <c r="S28" s="76"/>
    </row>
    <row r="29" spans="2:19" ht="18.75">
      <c r="B29" s="105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70" t="s">
        <v>62</v>
      </c>
      <c r="R29" s="73">
        <f>PI()*J9^2/4</f>
        <v>2.8352873698647882</v>
      </c>
      <c r="S29" s="72" t="s">
        <v>63</v>
      </c>
    </row>
    <row r="30" spans="2:19" ht="18.75">
      <c r="B30" s="105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70" t="s">
        <v>64</v>
      </c>
      <c r="R30" s="73">
        <f>R29*H8/105/L8</f>
        <v>7.5607663196394359</v>
      </c>
      <c r="S30" s="72" t="s">
        <v>0</v>
      </c>
    </row>
    <row r="31" spans="2:19" ht="18.75">
      <c r="B31" s="105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  <c r="Q31" s="70"/>
      <c r="R31" s="73"/>
      <c r="S31" s="76"/>
    </row>
    <row r="32" spans="2:19" ht="18.75">
      <c r="B32" s="105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77" t="str">
        <f>IF(R16&lt;R15,"水平式劈裂 Ktr =","垂直式劈裂 Ktr =")</f>
        <v>垂直式劈裂 Ktr =</v>
      </c>
      <c r="R32" s="78">
        <f>IF(R16&lt;R15,2*PI()*H10^2/4*L9/105/N9/M9,R30)</f>
        <v>7.5607663196394359</v>
      </c>
      <c r="S32" s="79" t="s">
        <v>0</v>
      </c>
    </row>
    <row r="33" spans="2:19">
      <c r="B33" s="10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2"/>
      <c r="R33" s="53"/>
      <c r="S33" s="54"/>
    </row>
    <row r="34" spans="2:19">
      <c r="B34" s="105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4"/>
      <c r="Q34" s="69"/>
      <c r="R34" s="80"/>
      <c r="S34" s="81"/>
    </row>
    <row r="35" spans="2:19" ht="18.75">
      <c r="B35" s="105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4"/>
      <c r="Q35" s="82" t="s">
        <v>65</v>
      </c>
      <c r="R35" s="45">
        <f>MAX(0.4,'算例-版與一般牆-2st'!E9/('算例-版與一般牆-2st'!R17+R32))</f>
        <v>0.4</v>
      </c>
      <c r="S35" s="81"/>
    </row>
    <row r="36" spans="2:19" ht="18.75">
      <c r="B36" s="105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4"/>
      <c r="Q36" s="69" t="s">
        <v>66</v>
      </c>
      <c r="R36" s="53"/>
      <c r="S36" s="54"/>
    </row>
    <row r="37" spans="2:19">
      <c r="B37" s="105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Q37" s="52"/>
      <c r="R37" s="53"/>
      <c r="S37" s="54"/>
    </row>
    <row r="38" spans="2:19">
      <c r="B38" s="105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/>
      <c r="Q38" s="52"/>
      <c r="R38" s="53"/>
      <c r="S38" s="54"/>
    </row>
    <row r="39" spans="2:19">
      <c r="B39" s="105"/>
      <c r="C39" s="5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4"/>
      <c r="Q39" s="52"/>
      <c r="R39" s="53"/>
      <c r="S39" s="54"/>
    </row>
    <row r="40" spans="2:19">
      <c r="B40" s="106"/>
      <c r="C40" s="60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3"/>
      <c r="Q40" s="60"/>
      <c r="R40" s="62"/>
      <c r="S40" s="63"/>
    </row>
    <row r="41" spans="2:19">
      <c r="B41" s="104">
        <v>3</v>
      </c>
      <c r="C41" s="64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7"/>
      <c r="Q41" s="64"/>
      <c r="R41" s="66"/>
      <c r="S41" s="67"/>
    </row>
    <row r="42" spans="2:19">
      <c r="B42" s="105"/>
      <c r="C42" s="52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2"/>
      <c r="R42" s="53"/>
      <c r="S42" s="54"/>
    </row>
    <row r="43" spans="2:19">
      <c r="B43" s="105"/>
      <c r="C43" s="5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4"/>
      <c r="Q43" s="52"/>
      <c r="R43" s="53"/>
      <c r="S43" s="54"/>
    </row>
    <row r="44" spans="2:19">
      <c r="B44" s="105"/>
      <c r="C44" s="5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4"/>
      <c r="Q44" s="52"/>
      <c r="R44" s="53"/>
      <c r="S44" s="54"/>
    </row>
    <row r="45" spans="2:19">
      <c r="B45" s="105"/>
      <c r="C45" s="52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4"/>
      <c r="Q45" s="52"/>
      <c r="R45" s="53"/>
      <c r="S45" s="54"/>
    </row>
    <row r="46" spans="2:19" ht="18.75">
      <c r="B46" s="105"/>
      <c r="C46" s="52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69" t="s">
        <v>67</v>
      </c>
      <c r="R46" s="110">
        <f>IF('算例-版與一般牆-2st'!E9&lt;2,0.28*0.8*'算例-版與一般牆-2st'!H8*'算例-版與一般牆-2st'!E9/SQRT('算例-版與一般牆-2st'!G8),0.28*'算例-版與一般牆-2st'!H8*'算例-版與一般牆-2st'!E9/SQRT('算例-版與一般牆-2st'!G8))</f>
        <v>95.546963028659377</v>
      </c>
      <c r="S46" s="111" t="s">
        <v>26</v>
      </c>
    </row>
    <row r="47" spans="2:19" ht="18.75">
      <c r="B47" s="105"/>
      <c r="C47" s="5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69" t="s">
        <v>68</v>
      </c>
      <c r="R47" s="110"/>
      <c r="S47" s="111"/>
    </row>
    <row r="48" spans="2:19" ht="18.75">
      <c r="B48" s="105"/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/>
      <c r="Q48" s="69" t="s">
        <v>69</v>
      </c>
      <c r="R48" s="53">
        <f>'算例-版與一般牆-2st'!R35*R46</f>
        <v>38.218785211463754</v>
      </c>
      <c r="S48" s="54" t="s">
        <v>0</v>
      </c>
    </row>
    <row r="49" spans="2:19" ht="20.25">
      <c r="B49" s="105"/>
      <c r="C49" s="52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4"/>
      <c r="Q49" s="69" t="s">
        <v>70</v>
      </c>
      <c r="R49" s="53"/>
      <c r="S49" s="54"/>
    </row>
    <row r="50" spans="2:19">
      <c r="B50" s="105"/>
      <c r="C50" s="52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4"/>
      <c r="Q50" s="52"/>
      <c r="R50" s="53"/>
      <c r="S50" s="54"/>
    </row>
    <row r="51" spans="2:19">
      <c r="B51" s="105"/>
      <c r="C51" s="5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4"/>
      <c r="Q51" s="52"/>
      <c r="R51" s="53"/>
      <c r="S51" s="54"/>
    </row>
    <row r="52" spans="2:19">
      <c r="B52" s="105"/>
      <c r="C52" s="52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4"/>
      <c r="Q52" s="52"/>
      <c r="R52" s="53"/>
      <c r="S52" s="54"/>
    </row>
    <row r="53" spans="2:19">
      <c r="B53" s="106"/>
      <c r="C53" s="60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3"/>
      <c r="Q53" s="60"/>
      <c r="R53" s="62"/>
      <c r="S53" s="63"/>
    </row>
    <row r="54" spans="2:19">
      <c r="B54" s="101">
        <v>4</v>
      </c>
      <c r="C54" s="64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4"/>
      <c r="R54" s="66"/>
      <c r="S54" s="67"/>
    </row>
    <row r="55" spans="2:19" ht="18.75">
      <c r="B55" s="102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69" t="s">
        <v>71</v>
      </c>
      <c r="R55" s="83">
        <f>ROUNDUP(MAX(30,'算例-版與一般牆-2st'!R48*1.3*1.3),0)</f>
        <v>65</v>
      </c>
      <c r="S55" s="54" t="s">
        <v>45</v>
      </c>
    </row>
    <row r="56" spans="2:19" ht="18.75">
      <c r="B56" s="102"/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69" t="s">
        <v>72</v>
      </c>
      <c r="R56" s="83">
        <f>ROUNDUP(MAX(30,'算例-版與一般牆-2st'!R48*1.3),0)</f>
        <v>50</v>
      </c>
      <c r="S56" s="54" t="s">
        <v>0</v>
      </c>
    </row>
    <row r="57" spans="2:19">
      <c r="B57" s="102"/>
      <c r="C57" s="52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69"/>
      <c r="R57" s="53"/>
      <c r="S57" s="54"/>
    </row>
    <row r="58" spans="2:19">
      <c r="B58" s="102"/>
      <c r="C58" s="52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2"/>
      <c r="R58" s="53"/>
      <c r="S58" s="54"/>
    </row>
    <row r="59" spans="2:19">
      <c r="B59" s="102"/>
      <c r="C59" s="5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2"/>
      <c r="R59" s="53"/>
      <c r="S59" s="54"/>
    </row>
    <row r="60" spans="2:19">
      <c r="B60" s="102"/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69"/>
      <c r="R60" s="53"/>
      <c r="S60" s="54"/>
    </row>
    <row r="61" spans="2:19">
      <c r="B61" s="102"/>
      <c r="C61" s="5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69"/>
      <c r="R61" s="53"/>
      <c r="S61" s="54"/>
    </row>
    <row r="62" spans="2:19">
      <c r="B62" s="102"/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2"/>
      <c r="R62" s="53"/>
      <c r="S62" s="54"/>
    </row>
    <row r="63" spans="2:19">
      <c r="B63" s="102"/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2"/>
      <c r="R63" s="53"/>
      <c r="S63" s="54"/>
    </row>
    <row r="64" spans="2:19">
      <c r="B64" s="102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2"/>
      <c r="R64" s="53"/>
      <c r="S64" s="54"/>
    </row>
    <row r="65" spans="2:19">
      <c r="B65" s="102"/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2"/>
      <c r="R65" s="53"/>
      <c r="S65" s="54"/>
    </row>
    <row r="66" spans="2:19">
      <c r="B66" s="102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2"/>
      <c r="R66" s="53"/>
      <c r="S66" s="54"/>
    </row>
    <row r="67" spans="2:19">
      <c r="B67" s="102"/>
      <c r="C67" s="5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2"/>
      <c r="R67" s="53"/>
      <c r="S67" s="54"/>
    </row>
    <row r="68" spans="2:19">
      <c r="B68" s="102"/>
      <c r="C68" s="52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2"/>
      <c r="R68" s="53"/>
      <c r="S68" s="54"/>
    </row>
    <row r="69" spans="2:19">
      <c r="B69" s="102"/>
      <c r="C69" s="52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2"/>
      <c r="R69" s="53"/>
      <c r="S69" s="54"/>
    </row>
    <row r="70" spans="2:19">
      <c r="B70" s="102"/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2"/>
      <c r="R70" s="53"/>
      <c r="S70" s="54"/>
    </row>
    <row r="71" spans="2:19">
      <c r="B71" s="102"/>
      <c r="C71" s="5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2"/>
      <c r="R71" s="53"/>
      <c r="S71" s="54"/>
    </row>
    <row r="72" spans="2:19">
      <c r="B72" s="102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2"/>
      <c r="R72" s="53"/>
      <c r="S72" s="54"/>
    </row>
    <row r="73" spans="2:19">
      <c r="B73" s="102"/>
      <c r="C73" s="52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2"/>
      <c r="R73" s="53"/>
      <c r="S73" s="54"/>
    </row>
    <row r="74" spans="2:19">
      <c r="B74" s="102"/>
      <c r="C74" s="52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2"/>
      <c r="R74" s="53"/>
      <c r="S74" s="54"/>
    </row>
    <row r="75" spans="2:19">
      <c r="B75" s="102"/>
      <c r="C75" s="5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2"/>
      <c r="R75" s="53"/>
      <c r="S75" s="54"/>
    </row>
    <row r="76" spans="2:19">
      <c r="B76" s="102"/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2"/>
      <c r="R76" s="53"/>
      <c r="S76" s="54"/>
    </row>
    <row r="77" spans="2:19">
      <c r="B77" s="102"/>
      <c r="C77" s="52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2"/>
      <c r="R77" s="53"/>
      <c r="S77" s="54"/>
    </row>
    <row r="78" spans="2:19">
      <c r="B78" s="102"/>
      <c r="C78" s="52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2"/>
      <c r="R78" s="53"/>
      <c r="S78" s="54"/>
    </row>
    <row r="79" spans="2:19">
      <c r="B79" s="102"/>
      <c r="C79" s="5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2"/>
      <c r="R79" s="53"/>
      <c r="S79" s="54"/>
    </row>
    <row r="80" spans="2:19">
      <c r="B80" s="102"/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2"/>
      <c r="R80" s="53"/>
      <c r="S80" s="54"/>
    </row>
    <row r="81" spans="2:19">
      <c r="B81" s="103"/>
      <c r="C81" s="60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0"/>
      <c r="R81" s="62"/>
      <c r="S81" s="63"/>
    </row>
  </sheetData>
  <mergeCells count="9">
    <mergeCell ref="B54:B81"/>
    <mergeCell ref="B5:B9"/>
    <mergeCell ref="E5:L5"/>
    <mergeCell ref="Q5:S9"/>
    <mergeCell ref="B10:B22"/>
    <mergeCell ref="B23:B40"/>
    <mergeCell ref="B41:B53"/>
    <mergeCell ref="R46:R47"/>
    <mergeCell ref="S46:S47"/>
  </mergeCells>
  <phoneticPr fontId="1" type="noConversion"/>
  <pageMargins left="0.7" right="0.7" top="0.75" bottom="0.75" header="0.3" footer="0.3"/>
  <pageSetup paperSize="8" scale="46" orientation="landscape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牆筋發展長度計算表(不考慮搭接影響)</vt:lpstr>
      <vt:lpstr>算例-版與一般牆-2s</vt:lpstr>
      <vt:lpstr>牆筋發展長度計算表(考慮搭接影響)</vt:lpstr>
      <vt:lpstr>算例-版與一般牆-2st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顏聖益</dc:creator>
  <cp:lastModifiedBy>bohao6</cp:lastModifiedBy>
  <dcterms:created xsi:type="dcterms:W3CDTF">2017-08-09T05:58:14Z</dcterms:created>
  <dcterms:modified xsi:type="dcterms:W3CDTF">2018-08-24T07:06:36Z</dcterms:modified>
</cp:coreProperties>
</file>