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VbaProject\20170226_LapLength\"/>
    </mc:Choice>
  </mc:AlternateContent>
  <xr:revisionPtr revIDLastSave="0" documentId="13_ncr:1_{E3E06167-22D4-426F-8D26-2301F08429B4}" xr6:coauthVersionLast="34" xr6:coauthVersionMax="34" xr10:uidLastSave="{00000000-0000-0000-0000-000000000000}"/>
  <bookViews>
    <workbookView xWindow="0" yWindow="0" windowWidth="28800" windowHeight="18000" activeTab="4" xr2:uid="{00000000-000D-0000-FFFF-FFFF00000000}"/>
  </bookViews>
  <sheets>
    <sheet name="算例 - 大梁 " sheetId="59" r:id="rId1"/>
    <sheet name="算例 - 地梁  " sheetId="61" r:id="rId2"/>
    <sheet name="算例 - 小梁" sheetId="62" r:id="rId3"/>
    <sheet name="算例 - 版與一般牆" sheetId="58" r:id="rId4"/>
    <sheet name="算例 - 基樁" sheetId="65" r:id="rId5"/>
    <sheet name="算例- 版壓力搭接" sheetId="48" r:id="rId6"/>
  </sheets>
  <definedNames>
    <definedName name="BEAM" localSheetId="5">#REF!</definedName>
    <definedName name="dl3綠" localSheetId="5">#REF!</definedName>
    <definedName name="_xlnm.Print_Area" localSheetId="5">'算例- 版壓力搭接'!$B$4:$S$18</definedName>
    <definedName name="主筋直徑" localSheetId="5">#REF!</definedName>
    <definedName name="混凝土強度" localSheetId="5">#REF!</definedName>
  </definedNames>
  <calcPr calcId="179021" refMode="R1C1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62" l="1"/>
  <c r="R17" i="65"/>
  <c r="R14" i="65"/>
  <c r="R30" i="65"/>
  <c r="R12" i="65"/>
  <c r="R32" i="65"/>
  <c r="R39" i="65"/>
  <c r="R23" i="65"/>
  <c r="R16" i="65"/>
  <c r="F8" i="65"/>
  <c r="G8" i="65"/>
  <c r="H8" i="65"/>
  <c r="R13" i="65"/>
  <c r="R37" i="65"/>
  <c r="R61" i="65"/>
  <c r="R40" i="65"/>
  <c r="R44" i="65"/>
  <c r="R75" i="65"/>
  <c r="Q61" i="65"/>
  <c r="Q30" i="65"/>
  <c r="R27" i="65"/>
  <c r="R28" i="65"/>
  <c r="R24" i="65"/>
  <c r="R18" i="65"/>
  <c r="G8" i="59"/>
  <c r="H8" i="59"/>
  <c r="R17" i="59"/>
  <c r="R37" i="59"/>
  <c r="H8" i="48"/>
  <c r="R20" i="48"/>
  <c r="R16" i="58"/>
  <c r="G8" i="58"/>
  <c r="R17" i="58"/>
  <c r="R18" i="58"/>
  <c r="G8" i="62"/>
  <c r="R61" i="62"/>
  <c r="H8" i="62"/>
  <c r="R16" i="62"/>
  <c r="R17" i="62"/>
  <c r="R18" i="62"/>
  <c r="R27" i="62"/>
  <c r="R28" i="62"/>
  <c r="R23" i="62"/>
  <c r="R24" i="62"/>
  <c r="G8" i="61"/>
  <c r="H8" i="61"/>
  <c r="R14" i="61"/>
  <c r="R13" i="61"/>
  <c r="R12" i="61"/>
  <c r="R14" i="59"/>
  <c r="R16" i="59"/>
  <c r="R13" i="62"/>
  <c r="R37" i="62"/>
  <c r="Q61" i="61"/>
  <c r="Q61" i="58"/>
  <c r="R61" i="58"/>
  <c r="R37" i="58"/>
  <c r="R14" i="58"/>
  <c r="R10" i="58"/>
  <c r="Q61" i="59"/>
  <c r="R13" i="59"/>
  <c r="R12" i="59"/>
  <c r="R23" i="59"/>
  <c r="R24" i="59"/>
  <c r="R27" i="59"/>
  <c r="R28" i="59"/>
  <c r="Q30" i="59"/>
  <c r="R30" i="59"/>
  <c r="R14" i="62"/>
  <c r="R12" i="62"/>
  <c r="R10" i="61"/>
  <c r="R30" i="61"/>
  <c r="Q30" i="61"/>
  <c r="R61" i="61"/>
  <c r="R61" i="59"/>
  <c r="R10" i="59"/>
  <c r="R32" i="59"/>
  <c r="R17" i="61"/>
  <c r="R32" i="61"/>
  <c r="R18" i="59"/>
  <c r="R16" i="61"/>
  <c r="R27" i="61"/>
  <c r="R28" i="61"/>
  <c r="R37" i="61"/>
  <c r="R13" i="58"/>
  <c r="R12" i="58"/>
  <c r="R32" i="58"/>
  <c r="R40" i="58"/>
  <c r="R44" i="58"/>
  <c r="R75" i="58"/>
  <c r="Q61" i="62"/>
  <c r="R23" i="61"/>
  <c r="R24" i="61"/>
  <c r="R40" i="61"/>
  <c r="R44" i="61"/>
  <c r="R75" i="61"/>
  <c r="R39" i="61"/>
  <c r="R40" i="59"/>
  <c r="R44" i="59"/>
  <c r="R75" i="59"/>
  <c r="R39" i="58"/>
  <c r="R43" i="58"/>
  <c r="R74" i="58"/>
  <c r="R43" i="61"/>
  <c r="R74" i="61"/>
  <c r="R39" i="59"/>
  <c r="R43" i="59"/>
  <c r="R74" i="59"/>
  <c r="R18" i="61"/>
  <c r="Q30" i="62"/>
  <c r="R10" i="62"/>
  <c r="R32" i="62"/>
  <c r="R39" i="62"/>
  <c r="R43" i="62"/>
  <c r="R74" i="62"/>
  <c r="R40" i="62"/>
  <c r="R44" i="62"/>
  <c r="R75" i="62"/>
</calcChain>
</file>

<file path=xl/sharedStrings.xml><?xml version="1.0" encoding="utf-8"?>
<sst xmlns="http://schemas.openxmlformats.org/spreadsheetml/2006/main" count="311" uniqueCount="81">
  <si>
    <t>梁深</t>
  </si>
  <si>
    <t>cm</t>
    <phoneticPr fontId="1" type="noConversion"/>
  </si>
  <si>
    <t>梁寬</t>
  </si>
  <si>
    <t>主筋直徑</t>
    <phoneticPr fontId="1" type="noConversion"/>
  </si>
  <si>
    <t>箍筋直徑</t>
    <phoneticPr fontId="1" type="noConversion"/>
  </si>
  <si>
    <t>保護層</t>
    <phoneticPr fontId="1" type="noConversion"/>
  </si>
  <si>
    <t>混凝土 fc'</t>
    <phoneticPr fontId="1" type="noConversion"/>
  </si>
  <si>
    <t>主筋 
Fy</t>
  </si>
  <si>
    <t>箍筋 
Fy</t>
  </si>
  <si>
    <t>主筋
根數</t>
  </si>
  <si>
    <t>箍筋
間距</t>
  </si>
  <si>
    <t>cm</t>
  </si>
  <si>
    <t>mm</t>
    <phoneticPr fontId="1" type="noConversion"/>
  </si>
  <si>
    <t xml:space="preserve"> kgf/cm²</t>
    <phoneticPr fontId="1" type="noConversion"/>
  </si>
  <si>
    <t xml:space="preserve"> kgf/cm²</t>
  </si>
  <si>
    <t>支數</t>
    <phoneticPr fontId="1" type="noConversion"/>
  </si>
  <si>
    <t>設計規範：結構混凝土設計規範及解說，內政部，100年7月。</t>
    <phoneticPr fontId="1" type="noConversion"/>
  </si>
  <si>
    <t xml:space="preserve">備註：
</t>
    <phoneticPr fontId="1" type="noConversion"/>
  </si>
  <si>
    <t>(2)未塗布鋼筋                 ==&gt; ψe = 1.0</t>
    <phoneticPr fontId="1" type="noConversion"/>
  </si>
  <si>
    <t>cm</t>
    <phoneticPr fontId="1" type="noConversion"/>
  </si>
  <si>
    <t>db</t>
    <phoneticPr fontId="1" type="noConversion"/>
  </si>
  <si>
    <t>淨間距=</t>
    <phoneticPr fontId="1" type="noConversion"/>
  </si>
  <si>
    <t>水平劈裂</t>
    <phoneticPr fontId="1" type="noConversion"/>
  </si>
  <si>
    <t>垂直劈裂</t>
    <phoneticPr fontId="1" type="noConversion"/>
  </si>
  <si>
    <r>
      <t>cm</t>
    </r>
    <r>
      <rPr>
        <vertAlign val="superscript"/>
        <sz val="14"/>
        <color theme="1"/>
        <rFont val="微軟正黑體"/>
        <family val="2"/>
        <charset val="136"/>
      </rPr>
      <t>2</t>
    </r>
    <phoneticPr fontId="1" type="noConversion"/>
  </si>
  <si>
    <t>水平劈裂 Atr * 箍筋Fy/105/箍筋間距/主筋根數 = 水平劈裂 Ktr =</t>
    <phoneticPr fontId="1" type="noConversion"/>
  </si>
  <si>
    <t>版（乙級搭接、壓力搭接）</t>
    <phoneticPr fontId="1" type="noConversion"/>
  </si>
  <si>
    <t xml:space="preserve"> </t>
    <phoneticPr fontId="1" type="noConversion"/>
  </si>
  <si>
    <t>主筋直徑</t>
    <phoneticPr fontId="1" type="noConversion"/>
  </si>
  <si>
    <t>保護層</t>
    <phoneticPr fontId="1" type="noConversion"/>
  </si>
  <si>
    <t>混凝土 fc'</t>
    <phoneticPr fontId="1" type="noConversion"/>
  </si>
  <si>
    <t>mm</t>
    <phoneticPr fontId="1" type="noConversion"/>
  </si>
  <si>
    <t xml:space="preserve"> kgf/cm²</t>
    <phoneticPr fontId="1" type="noConversion"/>
  </si>
  <si>
    <t>Cb = 下列兩項之較小者 =</t>
    <phoneticPr fontId="1" type="noConversion"/>
  </si>
  <si>
    <t>鋼筋或鋼線中心至最近混凝土表面之距離  =  箍筋直徑+保護層+鋼筋直徑/2 =</t>
    <phoneticPr fontId="1" type="noConversion"/>
  </si>
  <si>
    <t>垂直劈裂 Atr * 箍筋Fy/105/箍筋間距 = 垂直劈裂 Ktr =</t>
    <phoneticPr fontId="1" type="noConversion"/>
  </si>
  <si>
    <t>(4)於常重混凝土內之鋼筋  ==&gt;  λ = 1.0</t>
    <phoneticPr fontId="1" type="noConversion"/>
  </si>
  <si>
    <t>(1) ψt = 1.3（頂層）, 1.0（一般）</t>
    <phoneticPr fontId="1" type="noConversion"/>
  </si>
  <si>
    <t>頂層修正因數 = ψt * ψe * ψs * λ / (( Cb + Ktr) / 主筋直徑) =</t>
    <phoneticPr fontId="1" type="noConversion"/>
  </si>
  <si>
    <t>頂層 =</t>
    <phoneticPr fontId="1" type="noConversion"/>
  </si>
  <si>
    <t>一般 =</t>
    <phoneticPr fontId="1" type="noConversion"/>
  </si>
  <si>
    <t>一般修正因數 = ψt * ψe * ψs * λ / (( Cb + Ktr) / 主筋直徑) =</t>
    <phoneticPr fontId="1" type="noConversion"/>
  </si>
  <si>
    <t>1-1 大梁搭接長度</t>
    <phoneticPr fontId="1" type="noConversion"/>
  </si>
  <si>
    <t>地梁（乙級搭接）</t>
    <phoneticPr fontId="1" type="noConversion"/>
  </si>
  <si>
    <t>2-1 地梁搭接長度</t>
    <phoneticPr fontId="1" type="noConversion"/>
  </si>
  <si>
    <t>3-1 小梁搭接長度</t>
    <phoneticPr fontId="1" type="noConversion"/>
  </si>
  <si>
    <t>6-1 版壓力搭接長度</t>
    <phoneticPr fontId="1" type="noConversion"/>
  </si>
  <si>
    <t>4-1 版牆搭接長度</t>
    <phoneticPr fontId="1" type="noConversion"/>
  </si>
  <si>
    <t>版牆（乙級搭接）</t>
    <phoneticPr fontId="1" type="noConversion"/>
  </si>
  <si>
    <t>鋼筋間距</t>
    <phoneticPr fontId="1" type="noConversion"/>
  </si>
  <si>
    <r>
      <t>水平劈裂 Atr = 2*PI*箍筋直徑</t>
    </r>
    <r>
      <rPr>
        <vertAlign val="superscript"/>
        <sz val="14"/>
        <color theme="1"/>
        <rFont val="微軟正黑體"/>
        <family val="2"/>
        <charset val="136"/>
      </rPr>
      <t>2</t>
    </r>
    <r>
      <rPr>
        <sz val="14"/>
        <color theme="1"/>
        <rFont val="微軟正黑體"/>
        <family val="2"/>
        <charset val="136"/>
      </rPr>
      <t>/4 =</t>
    </r>
    <phoneticPr fontId="1" type="noConversion"/>
  </si>
  <si>
    <r>
      <t>垂直劈裂 Atr = PI*箍筋直徑</t>
    </r>
    <r>
      <rPr>
        <vertAlign val="superscript"/>
        <sz val="14"/>
        <color theme="1"/>
        <rFont val="微軟正黑體"/>
        <family val="2"/>
        <charset val="136"/>
      </rPr>
      <t>2</t>
    </r>
    <r>
      <rPr>
        <sz val="14"/>
        <color theme="1"/>
        <rFont val="微軟正黑體"/>
        <family val="2"/>
        <charset val="136"/>
      </rPr>
      <t>/4 =</t>
    </r>
    <phoneticPr fontId="1" type="noConversion"/>
  </si>
  <si>
    <t>鋼筋或鋼線中心至最近混凝土表面之距離  =  保護層+鋼筋直徑/2 =</t>
    <phoneticPr fontId="1" type="noConversion"/>
  </si>
  <si>
    <t>Ktr =</t>
    <phoneticPr fontId="1" type="noConversion"/>
  </si>
  <si>
    <r>
      <t>主筋直徑 / (C</t>
    </r>
    <r>
      <rPr>
        <vertAlign val="subscript"/>
        <sz val="14"/>
        <color theme="1"/>
        <rFont val="微軟正黑體"/>
        <family val="2"/>
        <charset val="136"/>
      </rPr>
      <t>b</t>
    </r>
    <r>
      <rPr>
        <sz val="14"/>
        <color theme="1"/>
        <rFont val="微軟正黑體"/>
        <family val="2"/>
        <charset val="136"/>
      </rPr>
      <t>+Ktr)&gt;=0.4 =</t>
    </r>
    <phoneticPr fontId="1" type="noConversion"/>
  </si>
  <si>
    <t>頂層修正因數 * ldb = 頂層伸展長度ld =</t>
    <phoneticPr fontId="1" type="noConversion"/>
  </si>
  <si>
    <t>一般修正因數 * ldb = 一般伸展長度ld =</t>
    <phoneticPr fontId="1" type="noConversion"/>
  </si>
  <si>
    <r>
      <t xml:space="preserve">無條件進位(1.3 * 頂層伸展長度) = </t>
    </r>
    <r>
      <rPr>
        <sz val="14"/>
        <color rgb="FFFF0000"/>
        <rFont val="微軟正黑體"/>
        <family val="2"/>
        <charset val="136"/>
      </rPr>
      <t>頂層乙級搭接長度 =</t>
    </r>
    <phoneticPr fontId="1" type="noConversion"/>
  </si>
  <si>
    <r>
      <t xml:space="preserve">無條件進位(1.3 * 一般伸展長度) = </t>
    </r>
    <r>
      <rPr>
        <sz val="14"/>
        <color rgb="FFFF0000"/>
        <rFont val="微軟正黑體"/>
        <family val="2"/>
        <charset val="136"/>
      </rPr>
      <t>一般乙級搭接長度 =</t>
    </r>
    <phoneticPr fontId="1" type="noConversion"/>
  </si>
  <si>
    <t>cm</t>
    <phoneticPr fontId="1" type="noConversion"/>
  </si>
  <si>
    <t>Cs =</t>
    <phoneticPr fontId="1" type="noConversion"/>
  </si>
  <si>
    <t>Cc =</t>
    <phoneticPr fontId="1" type="noConversion"/>
  </si>
  <si>
    <t>待伸展鋼筋或鋼線之中心間距之半 =(鋼筋間距)/2 =</t>
    <phoneticPr fontId="1" type="noConversion"/>
  </si>
  <si>
    <t>鋼筋或鋼線中心至最近混凝土表面之距離  =  箍筋直徑+保護層+鋼筋直徑/2 =</t>
    <phoneticPr fontId="1" type="noConversion"/>
  </si>
  <si>
    <r>
      <t>主筋直徑 / (C</t>
    </r>
    <r>
      <rPr>
        <vertAlign val="subscript"/>
        <sz val="12"/>
        <color theme="1"/>
        <rFont val="新細明體"/>
        <family val="2"/>
        <charset val="136"/>
        <scheme val="minor"/>
      </rPr>
      <t>b</t>
    </r>
    <r>
      <rPr>
        <sz val="12"/>
        <color theme="1"/>
        <rFont val="新細明體"/>
        <family val="2"/>
        <charset val="136"/>
        <scheme val="minor"/>
      </rPr>
      <t>+Ktr)&gt;=0.4 =</t>
    </r>
    <phoneticPr fontId="1" type="noConversion"/>
  </si>
  <si>
    <r>
      <t xml:space="preserve">無條件進位(1.3 * 頂層延伸長度) = </t>
    </r>
    <r>
      <rPr>
        <sz val="12"/>
        <color rgb="FFFF0000"/>
        <rFont val="新細明體"/>
        <family val="2"/>
        <charset val="136"/>
        <scheme val="minor"/>
      </rPr>
      <t>頂層乙級搭接長度 =</t>
    </r>
    <phoneticPr fontId="1" type="noConversion"/>
  </si>
  <si>
    <r>
      <t xml:space="preserve">無條件進位(1.3 * 一般延伸長度) = </t>
    </r>
    <r>
      <rPr>
        <sz val="12"/>
        <color rgb="FFFF0000"/>
        <rFont val="新細明體"/>
        <family val="2"/>
        <charset val="136"/>
        <scheme val="minor"/>
      </rPr>
      <t>一般乙級搭接長度 =</t>
    </r>
    <phoneticPr fontId="1" type="noConversion"/>
  </si>
  <si>
    <r>
      <t>水平劈裂 Atr = 2*PI*箍筋直徑</t>
    </r>
    <r>
      <rPr>
        <vertAlign val="superscript"/>
        <sz val="12"/>
        <color theme="1"/>
        <rFont val="新細明體"/>
        <family val="2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/4 =</t>
    </r>
    <phoneticPr fontId="1" type="noConversion"/>
  </si>
  <si>
    <r>
      <t>cm</t>
    </r>
    <r>
      <rPr>
        <vertAlign val="superscript"/>
        <sz val="12"/>
        <color theme="1"/>
        <rFont val="新細明體"/>
        <family val="2"/>
        <charset val="136"/>
        <scheme val="minor"/>
      </rPr>
      <t>2</t>
    </r>
    <phoneticPr fontId="1" type="noConversion"/>
  </si>
  <si>
    <r>
      <t>垂直劈裂 Atr = PI*箍筋直徑</t>
    </r>
    <r>
      <rPr>
        <vertAlign val="superscript"/>
        <sz val="12"/>
        <color theme="1"/>
        <rFont val="新細明體"/>
        <family val="2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/4 =</t>
    </r>
    <phoneticPr fontId="1" type="noConversion"/>
  </si>
  <si>
    <r>
      <t>主筋直徑 / (C</t>
    </r>
    <r>
      <rPr>
        <vertAlign val="subscript"/>
        <sz val="12"/>
        <color theme="1"/>
        <rFont val="新細明體"/>
        <family val="2"/>
        <charset val="136"/>
        <scheme val="minor"/>
      </rPr>
      <t>b</t>
    </r>
    <r>
      <rPr>
        <sz val="12"/>
        <color theme="1"/>
        <rFont val="新細明體"/>
        <family val="2"/>
        <charset val="136"/>
        <scheme val="minor"/>
      </rPr>
      <t>+Ktr)&gt;=0.4 =</t>
    </r>
    <phoneticPr fontId="1" type="noConversion"/>
  </si>
  <si>
    <r>
      <t xml:space="preserve">無條件進位(1.3 * 頂層伸展長度) = </t>
    </r>
    <r>
      <rPr>
        <sz val="12"/>
        <color rgb="FFFF0000"/>
        <rFont val="新細明體"/>
        <family val="2"/>
        <charset val="136"/>
        <scheme val="minor"/>
      </rPr>
      <t>頂層乙級搭接長度 =</t>
    </r>
    <phoneticPr fontId="1" type="noConversion"/>
  </si>
  <si>
    <r>
      <t xml:space="preserve">無條件進位(1.3 * 一般伸展長度) = </t>
    </r>
    <r>
      <rPr>
        <sz val="12"/>
        <color rgb="FFFF0000"/>
        <rFont val="新細明體"/>
        <family val="2"/>
        <charset val="136"/>
        <scheme val="minor"/>
      </rPr>
      <t>一般乙級搭接長度 =</t>
    </r>
    <phoneticPr fontId="1" type="noConversion"/>
  </si>
  <si>
    <t>待伸展鋼筋或鋼線之中心間距之半 = {(梁寬-主筋直徑*主筋根數-箍筋直徑*2-保護層*2) / (主筋根數-1) + 主筋直徑}/2 =</t>
    <phoneticPr fontId="1" type="noConversion"/>
  </si>
  <si>
    <t>搭接長度 =</t>
    <phoneticPr fontId="1" type="noConversion"/>
  </si>
  <si>
    <r>
      <t>ldb = 0.28 * fy / (混凝土 fc')</t>
    </r>
    <r>
      <rPr>
        <vertAlign val="superscript"/>
        <sz val="14"/>
        <color theme="1"/>
        <rFont val="微軟正黑體"/>
        <family val="2"/>
        <charset val="136"/>
      </rPr>
      <t>(1/2)</t>
    </r>
    <r>
      <rPr>
        <sz val="14"/>
        <color theme="1"/>
        <rFont val="微軟正黑體"/>
        <family val="2"/>
        <charset val="136"/>
      </rPr>
      <t xml:space="preserve"> * db</t>
    </r>
    <r>
      <rPr>
        <vertAlign val="superscript"/>
        <sz val="14"/>
        <color theme="1"/>
        <rFont val="微軟正黑體"/>
        <family val="2"/>
        <charset val="136"/>
      </rPr>
      <t xml:space="preserve"> </t>
    </r>
    <r>
      <rPr>
        <sz val="14"/>
        <color theme="1"/>
        <rFont val="微軟正黑體"/>
        <family val="2"/>
        <charset val="136"/>
      </rPr>
      <t>=</t>
    </r>
    <phoneticPr fontId="1" type="noConversion"/>
  </si>
  <si>
    <r>
      <t>ldb = 0.28 * fy /</t>
    </r>
    <r>
      <rPr>
        <sz val="14"/>
        <color theme="1"/>
        <rFont val="微軟正黑體"/>
        <family val="2"/>
        <charset val="136"/>
      </rPr>
      <t xml:space="preserve"> </t>
    </r>
    <r>
      <rPr>
        <sz val="14"/>
        <color theme="1"/>
        <rFont val="微軟正黑體"/>
        <family val="2"/>
        <charset val="136"/>
      </rPr>
      <t>(混凝土 fc')</t>
    </r>
    <r>
      <rPr>
        <vertAlign val="superscript"/>
        <sz val="12"/>
        <color theme="1"/>
        <rFont val="新細明體"/>
        <family val="2"/>
        <charset val="136"/>
        <scheme val="minor"/>
      </rPr>
      <t>(1/2)</t>
    </r>
    <r>
      <rPr>
        <sz val="12"/>
        <color theme="1"/>
        <rFont val="新細明體"/>
        <family val="2"/>
        <charset val="136"/>
        <scheme val="minor"/>
      </rPr>
      <t xml:space="preserve"> * db</t>
    </r>
    <r>
      <rPr>
        <vertAlign val="superscript"/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=</t>
    </r>
    <phoneticPr fontId="1" type="noConversion"/>
  </si>
  <si>
    <r>
      <t>ldb = 0.28 * fy /</t>
    </r>
    <r>
      <rPr>
        <sz val="14"/>
        <color theme="1"/>
        <rFont val="微軟正黑體"/>
        <family val="2"/>
        <charset val="136"/>
      </rPr>
      <t xml:space="preserve"> </t>
    </r>
    <r>
      <rPr>
        <sz val="14"/>
        <color theme="1"/>
        <rFont val="微軟正黑體"/>
        <family val="2"/>
        <charset val="136"/>
      </rPr>
      <t>(混凝土 fc')</t>
    </r>
    <r>
      <rPr>
        <vertAlign val="superscript"/>
        <sz val="12"/>
        <color theme="1"/>
        <rFont val="新細明體"/>
        <family val="2"/>
        <charset val="136"/>
        <scheme val="minor"/>
      </rPr>
      <t>(1/2)</t>
    </r>
    <r>
      <rPr>
        <sz val="12"/>
        <color theme="1"/>
        <rFont val="新細明體"/>
        <family val="2"/>
        <charset val="136"/>
        <scheme val="minor"/>
      </rPr>
      <t xml:space="preserve"> * db</t>
    </r>
    <r>
      <rPr>
        <vertAlign val="superscript"/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2"/>
        <charset val="136"/>
        <scheme val="minor"/>
      </rPr>
      <t>=</t>
    </r>
    <phoneticPr fontId="1" type="noConversion"/>
  </si>
  <si>
    <t>樁徑</t>
    <phoneticPr fontId="1" type="noConversion"/>
  </si>
  <si>
    <t>基樁（乙級搭接）</t>
    <phoneticPr fontId="1" type="noConversion"/>
  </si>
  <si>
    <t>5-1 基樁搭接長度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</si>
</sst>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D&quot;0"/>
    <numFmt numFmtId="177" formatCode="0.0"/>
  </numFmts>
  <fonts count="3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12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sz val="14"/>
      <color theme="1"/>
      <name val="微軟正黑體"/>
      <family val="2"/>
      <charset val="136"/>
    </font>
    <font>
      <vertAlign val="subscript"/>
      <sz val="14"/>
      <color theme="1"/>
      <name val="微軟正黑體"/>
      <family val="2"/>
      <charset val="136"/>
    </font>
    <font>
      <vertAlign val="superscript"/>
      <sz val="14"/>
      <color theme="1"/>
      <name val="微軟正黑體"/>
      <family val="2"/>
      <charset val="136"/>
    </font>
    <font>
      <sz val="14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4"/>
      <color theme="3" tint="0.59999389629810485"/>
      <name val="微軟正黑體"/>
      <family val="2"/>
      <charset val="136"/>
    </font>
    <font>
      <sz val="14"/>
      <color theme="2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indexed="12"/>
      <name val="微軟正黑體"/>
      <family val="2"/>
      <charset val="136"/>
    </font>
    <font>
      <b/>
      <sz val="14"/>
      <color indexed="12"/>
      <name val="微軟正黑體"/>
      <family val="2"/>
      <charset val="136"/>
    </font>
    <font>
      <sz val="14"/>
      <color theme="2"/>
      <name val="微軟正黑體"/>
      <family val="2"/>
      <charset val="136"/>
    </font>
    <font>
      <sz val="14"/>
      <color theme="3" tint="0.59999389629810485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indexed="12"/>
      <name val="微軟正黑體"/>
      <family val="2"/>
      <charset val="136"/>
    </font>
    <font>
      <sz val="14"/>
      <color indexed="12"/>
      <name val="微軟正黑體"/>
      <family val="2"/>
      <charset val="136"/>
    </font>
    <font>
      <sz val="14"/>
      <color theme="3" tint="0.59999389629810485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vertAlign val="subscript"/>
      <sz val="12"/>
      <color theme="1"/>
      <name val="新細明體"/>
      <family val="2"/>
      <charset val="136"/>
      <scheme val="minor"/>
    </font>
    <font>
      <vertAlign val="superscript"/>
      <sz val="12"/>
      <color theme="1"/>
      <name val="新細明體"/>
      <family val="2"/>
      <charset val="136"/>
      <scheme val="minor"/>
    </font>
    <font>
      <sz val="14"/>
      <color theme="2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sz val="14"/>
      <color theme="3" tint="0.59999389629810485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4"/>
      <color theme="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right" vertical="center"/>
    </xf>
    <xf numFmtId="2" fontId="4" fillId="2" borderId="0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177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2" fontId="8" fillId="0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/>
    </xf>
    <xf numFmtId="0" fontId="16" fillId="2" borderId="7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177" fontId="11" fillId="2" borderId="0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righ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right" vertical="center"/>
    </xf>
    <xf numFmtId="0" fontId="23" fillId="2" borderId="6" xfId="0" applyFont="1" applyFill="1" applyBorder="1" applyAlignment="1">
      <alignment horizontal="right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right" vertical="center"/>
    </xf>
    <xf numFmtId="177" fontId="19" fillId="2" borderId="0" xfId="0" applyNumberFormat="1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right" vertical="center"/>
    </xf>
    <xf numFmtId="2" fontId="19" fillId="2" borderId="0" xfId="0" applyNumberFormat="1" applyFont="1" applyFill="1" applyBorder="1" applyAlignment="1">
      <alignment horizontal="center" vertical="center"/>
    </xf>
    <xf numFmtId="177" fontId="19" fillId="2" borderId="0" xfId="0" applyNumberFormat="1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1" fontId="24" fillId="2" borderId="0" xfId="0" applyNumberFormat="1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/>
    </xf>
    <xf numFmtId="0" fontId="27" fillId="2" borderId="6" xfId="0" applyFont="1" applyFill="1" applyBorder="1" applyAlignment="1">
      <alignment horizontal="right" vertical="center"/>
    </xf>
    <xf numFmtId="0" fontId="27" fillId="2" borderId="0" xfId="0" applyFont="1" applyFill="1" applyBorder="1" applyAlignment="1">
      <alignment horizontal="center" vertical="center"/>
    </xf>
    <xf numFmtId="177" fontId="27" fillId="2" borderId="0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76" fontId="29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right" vertical="center"/>
    </xf>
    <xf numFmtId="0" fontId="32" fillId="2" borderId="6" xfId="0" applyFont="1" applyFill="1" applyBorder="1" applyAlignment="1">
      <alignment horizontal="right" vertical="center"/>
    </xf>
    <xf numFmtId="2" fontId="32" fillId="0" borderId="0" xfId="0" applyNumberFormat="1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177" fontId="28" fillId="2" borderId="0" xfId="0" applyNumberFormat="1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right" vertical="center"/>
    </xf>
    <xf numFmtId="2" fontId="28" fillId="2" borderId="0" xfId="0" applyNumberFormat="1" applyFont="1" applyFill="1" applyBorder="1" applyAlignment="1">
      <alignment horizontal="center" vertical="center"/>
    </xf>
    <xf numFmtId="177" fontId="28" fillId="2" borderId="0" xfId="0" applyNumberFormat="1" applyFont="1" applyFill="1" applyBorder="1" applyAlignment="1">
      <alignment vertical="center"/>
    </xf>
    <xf numFmtId="0" fontId="28" fillId="2" borderId="7" xfId="0" applyFont="1" applyFill="1" applyBorder="1" applyAlignment="1">
      <alignment vertical="center"/>
    </xf>
    <xf numFmtId="177" fontId="32" fillId="2" borderId="0" xfId="0" applyNumberFormat="1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left" vertical="center" wrapText="1"/>
    </xf>
    <xf numFmtId="0" fontId="28" fillId="2" borderId="6" xfId="0" applyFont="1" applyFill="1" applyBorder="1" applyAlignment="1">
      <alignment horizontal="left" vertical="center"/>
    </xf>
    <xf numFmtId="0" fontId="34" fillId="2" borderId="6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177" fontId="34" fillId="2" borderId="0" xfId="0" applyNumberFormat="1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681507</xdr:colOff>
      <xdr:row>9</xdr:row>
      <xdr:rowOff>0</xdr:rowOff>
    </xdr:from>
    <xdr:to>
      <xdr:col>13</xdr:col>
      <xdr:colOff>555821</xdr:colOff>
      <xdr:row>18</xdr:row>
      <xdr:rowOff>67890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357" y="2133600"/>
          <a:ext cx="7780064" cy="22110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436269</xdr:colOff>
      <xdr:row>22</xdr:row>
      <xdr:rowOff>31650</xdr:rowOff>
    </xdr:from>
    <xdr:to>
      <xdr:col>14</xdr:col>
      <xdr:colOff>413281</xdr:colOff>
      <xdr:row>29</xdr:row>
      <xdr:rowOff>215486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119" y="5260875"/>
          <a:ext cx="8568562" cy="190786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132910</xdr:colOff>
      <xdr:row>37</xdr:row>
      <xdr:rowOff>113591</xdr:rowOff>
    </xdr:from>
    <xdr:to>
      <xdr:col>15</xdr:col>
      <xdr:colOff>61772</xdr:colOff>
      <xdr:row>43</xdr:row>
      <xdr:rowOff>41859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0760" y="9038516"/>
          <a:ext cx="9206212" cy="13570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311719</xdr:colOff>
      <xdr:row>76</xdr:row>
      <xdr:rowOff>222996</xdr:rowOff>
    </xdr:from>
    <xdr:to>
      <xdr:col>12</xdr:col>
      <xdr:colOff>877336</xdr:colOff>
      <xdr:row>85</xdr:row>
      <xdr:rowOff>11241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369" y="18672921"/>
          <a:ext cx="6890217" cy="1931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212912</xdr:colOff>
      <xdr:row>19</xdr:row>
      <xdr:rowOff>44823</xdr:rowOff>
    </xdr:from>
    <xdr:to>
      <xdr:col>30</xdr:col>
      <xdr:colOff>30949</xdr:colOff>
      <xdr:row>32</xdr:row>
      <xdr:rowOff>176892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15662" y="4559673"/>
          <a:ext cx="7361837" cy="3322944"/>
        </a:xfrm>
        <a:prstGeom prst="rect">
          <a:avLst/>
        </a:prstGeom>
      </xdr:spPr>
    </xdr:pic>
    <xdr:clientData/>
  </xdr:twoCellAnchor>
  <xdr:twoCellAnchor editAs="oneCell">
    <xdr:from>
      <xdr:col>2</xdr:col>
      <xdr:colOff>333777</xdr:colOff>
      <xdr:row>46</xdr:row>
      <xdr:rowOff>149679</xdr:rowOff>
    </xdr:from>
    <xdr:to>
      <xdr:col>14</xdr:col>
      <xdr:colOff>195112</xdr:colOff>
      <xdr:row>69</xdr:row>
      <xdr:rowOff>166918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16"/>
        <a:stretch/>
      </xdr:blipFill>
      <xdr:spPr>
        <a:xfrm>
          <a:off x="2181627" y="11217729"/>
          <a:ext cx="8452885" cy="5732239"/>
        </a:xfrm>
        <a:prstGeom prst="rect">
          <a:avLst/>
        </a:prstGeom>
      </xdr:spPr>
    </xdr:pic>
    <xdr:clientData/>
  </xdr:twoCellAnchor>
  <xdr:twoCellAnchor editAs="oneCell">
    <xdr:from>
      <xdr:col>16</xdr:col>
      <xdr:colOff>2010228</xdr:colOff>
      <xdr:row>76</xdr:row>
      <xdr:rowOff>64408</xdr:rowOff>
    </xdr:from>
    <xdr:to>
      <xdr:col>16</xdr:col>
      <xdr:colOff>9033328</xdr:colOff>
      <xdr:row>86</xdr:row>
      <xdr:rowOff>229508</xdr:rowOff>
    </xdr:to>
    <xdr:pic>
      <xdr:nvPicPr>
        <xdr:cNvPr id="8" name="圖片 7" descr="畫面剪輯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753" y="18514333"/>
          <a:ext cx="7023100" cy="2546350"/>
        </a:xfrm>
        <a:prstGeom prst="rect">
          <a:avLst/>
        </a:prstGeom>
      </xdr:spPr>
    </xdr:pic>
    <xdr:clientData/>
  </xdr:twoCellAnchor>
  <xdr:twoCellAnchor>
    <xdr:from>
      <xdr:col>16</xdr:col>
      <xdr:colOff>4778828</xdr:colOff>
      <xdr:row>83</xdr:row>
      <xdr:rowOff>89808</xdr:rowOff>
    </xdr:from>
    <xdr:to>
      <xdr:col>16</xdr:col>
      <xdr:colOff>6033887</xdr:colOff>
      <xdr:row>84</xdr:row>
      <xdr:rowOff>230255</xdr:rowOff>
    </xdr:to>
    <xdr:sp macro="" textlink="">
      <xdr:nvSpPr>
        <xdr:cNvPr id="9" name="矩形: 圓角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6218353" y="20206608"/>
          <a:ext cx="1255059" cy="37857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4791528</xdr:colOff>
      <xdr:row>77</xdr:row>
      <xdr:rowOff>166008</xdr:rowOff>
    </xdr:from>
    <xdr:to>
      <xdr:col>16</xdr:col>
      <xdr:colOff>6046587</xdr:colOff>
      <xdr:row>79</xdr:row>
      <xdr:rowOff>65155</xdr:rowOff>
    </xdr:to>
    <xdr:sp macro="" textlink="">
      <xdr:nvSpPr>
        <xdr:cNvPr id="10" name="矩形: 圓角 1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6231053" y="18854058"/>
          <a:ext cx="1255059" cy="37539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681507</xdr:colOff>
      <xdr:row>9</xdr:row>
      <xdr:rowOff>0</xdr:rowOff>
    </xdr:from>
    <xdr:to>
      <xdr:col>13</xdr:col>
      <xdr:colOff>555821</xdr:colOff>
      <xdr:row>18</xdr:row>
      <xdr:rowOff>67890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357" y="2133600"/>
          <a:ext cx="7780064" cy="22110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436269</xdr:colOff>
      <xdr:row>22</xdr:row>
      <xdr:rowOff>31650</xdr:rowOff>
    </xdr:from>
    <xdr:to>
      <xdr:col>14</xdr:col>
      <xdr:colOff>413281</xdr:colOff>
      <xdr:row>29</xdr:row>
      <xdr:rowOff>215486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119" y="5260875"/>
          <a:ext cx="8568562" cy="190786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132910</xdr:colOff>
      <xdr:row>37</xdr:row>
      <xdr:rowOff>113591</xdr:rowOff>
    </xdr:from>
    <xdr:to>
      <xdr:col>15</xdr:col>
      <xdr:colOff>61772</xdr:colOff>
      <xdr:row>43</xdr:row>
      <xdr:rowOff>41859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0760" y="9038516"/>
          <a:ext cx="9206212" cy="13570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311719</xdr:colOff>
      <xdr:row>76</xdr:row>
      <xdr:rowOff>222996</xdr:rowOff>
    </xdr:from>
    <xdr:to>
      <xdr:col>12</xdr:col>
      <xdr:colOff>877336</xdr:colOff>
      <xdr:row>85</xdr:row>
      <xdr:rowOff>11241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369" y="18672921"/>
          <a:ext cx="6890217" cy="1931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212912</xdr:colOff>
      <xdr:row>19</xdr:row>
      <xdr:rowOff>44823</xdr:rowOff>
    </xdr:from>
    <xdr:to>
      <xdr:col>30</xdr:col>
      <xdr:colOff>30949</xdr:colOff>
      <xdr:row>32</xdr:row>
      <xdr:rowOff>176892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44262" y="4559673"/>
          <a:ext cx="7361837" cy="3322944"/>
        </a:xfrm>
        <a:prstGeom prst="rect">
          <a:avLst/>
        </a:prstGeom>
      </xdr:spPr>
    </xdr:pic>
    <xdr:clientData/>
  </xdr:twoCellAnchor>
  <xdr:twoCellAnchor editAs="oneCell">
    <xdr:from>
      <xdr:col>2</xdr:col>
      <xdr:colOff>333777</xdr:colOff>
      <xdr:row>46</xdr:row>
      <xdr:rowOff>149679</xdr:rowOff>
    </xdr:from>
    <xdr:to>
      <xdr:col>14</xdr:col>
      <xdr:colOff>195112</xdr:colOff>
      <xdr:row>69</xdr:row>
      <xdr:rowOff>166918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16"/>
        <a:stretch/>
      </xdr:blipFill>
      <xdr:spPr>
        <a:xfrm>
          <a:off x="2181627" y="11217729"/>
          <a:ext cx="8452885" cy="5732239"/>
        </a:xfrm>
        <a:prstGeom prst="rect">
          <a:avLst/>
        </a:prstGeom>
      </xdr:spPr>
    </xdr:pic>
    <xdr:clientData/>
  </xdr:twoCellAnchor>
  <xdr:twoCellAnchor editAs="oneCell">
    <xdr:from>
      <xdr:col>16</xdr:col>
      <xdr:colOff>2010228</xdr:colOff>
      <xdr:row>76</xdr:row>
      <xdr:rowOff>64408</xdr:rowOff>
    </xdr:from>
    <xdr:to>
      <xdr:col>16</xdr:col>
      <xdr:colOff>9033328</xdr:colOff>
      <xdr:row>86</xdr:row>
      <xdr:rowOff>229508</xdr:rowOff>
    </xdr:to>
    <xdr:pic>
      <xdr:nvPicPr>
        <xdr:cNvPr id="8" name="圖片 7" descr="畫面剪輯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753" y="18514333"/>
          <a:ext cx="7023100" cy="2546350"/>
        </a:xfrm>
        <a:prstGeom prst="rect">
          <a:avLst/>
        </a:prstGeom>
      </xdr:spPr>
    </xdr:pic>
    <xdr:clientData/>
  </xdr:twoCellAnchor>
  <xdr:twoCellAnchor>
    <xdr:from>
      <xdr:col>16</xdr:col>
      <xdr:colOff>4778828</xdr:colOff>
      <xdr:row>83</xdr:row>
      <xdr:rowOff>89808</xdr:rowOff>
    </xdr:from>
    <xdr:to>
      <xdr:col>16</xdr:col>
      <xdr:colOff>6033887</xdr:colOff>
      <xdr:row>84</xdr:row>
      <xdr:rowOff>230255</xdr:rowOff>
    </xdr:to>
    <xdr:sp macro="" textlink="">
      <xdr:nvSpPr>
        <xdr:cNvPr id="9" name="矩形: 圓角 1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6218353" y="20206608"/>
          <a:ext cx="1255059" cy="37857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4791528</xdr:colOff>
      <xdr:row>77</xdr:row>
      <xdr:rowOff>166008</xdr:rowOff>
    </xdr:from>
    <xdr:to>
      <xdr:col>16</xdr:col>
      <xdr:colOff>6046587</xdr:colOff>
      <xdr:row>79</xdr:row>
      <xdr:rowOff>65155</xdr:rowOff>
    </xdr:to>
    <xdr:sp macro="" textlink="">
      <xdr:nvSpPr>
        <xdr:cNvPr id="10" name="矩形: 圓角 1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6231053" y="18854058"/>
          <a:ext cx="1255059" cy="37539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681507</xdr:colOff>
      <xdr:row>9</xdr:row>
      <xdr:rowOff>0</xdr:rowOff>
    </xdr:from>
    <xdr:to>
      <xdr:col>13</xdr:col>
      <xdr:colOff>555821</xdr:colOff>
      <xdr:row>18</xdr:row>
      <xdr:rowOff>67890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357" y="2133600"/>
          <a:ext cx="7780064" cy="22110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436269</xdr:colOff>
      <xdr:row>22</xdr:row>
      <xdr:rowOff>31650</xdr:rowOff>
    </xdr:from>
    <xdr:to>
      <xdr:col>14</xdr:col>
      <xdr:colOff>413281</xdr:colOff>
      <xdr:row>29</xdr:row>
      <xdr:rowOff>215486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119" y="5260875"/>
          <a:ext cx="8568562" cy="190786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132910</xdr:colOff>
      <xdr:row>37</xdr:row>
      <xdr:rowOff>113591</xdr:rowOff>
    </xdr:from>
    <xdr:to>
      <xdr:col>15</xdr:col>
      <xdr:colOff>61772</xdr:colOff>
      <xdr:row>43</xdr:row>
      <xdr:rowOff>41859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0760" y="9038516"/>
          <a:ext cx="9206212" cy="13570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311719</xdr:colOff>
      <xdr:row>76</xdr:row>
      <xdr:rowOff>222996</xdr:rowOff>
    </xdr:from>
    <xdr:to>
      <xdr:col>12</xdr:col>
      <xdr:colOff>877336</xdr:colOff>
      <xdr:row>85</xdr:row>
      <xdr:rowOff>11241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369" y="18672921"/>
          <a:ext cx="6890217" cy="1931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212912</xdr:colOff>
      <xdr:row>19</xdr:row>
      <xdr:rowOff>44823</xdr:rowOff>
    </xdr:from>
    <xdr:to>
      <xdr:col>30</xdr:col>
      <xdr:colOff>30949</xdr:colOff>
      <xdr:row>32</xdr:row>
      <xdr:rowOff>176892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44262" y="4559673"/>
          <a:ext cx="7361837" cy="3322944"/>
        </a:xfrm>
        <a:prstGeom prst="rect">
          <a:avLst/>
        </a:prstGeom>
      </xdr:spPr>
    </xdr:pic>
    <xdr:clientData/>
  </xdr:twoCellAnchor>
  <xdr:twoCellAnchor editAs="oneCell">
    <xdr:from>
      <xdr:col>2</xdr:col>
      <xdr:colOff>333777</xdr:colOff>
      <xdr:row>46</xdr:row>
      <xdr:rowOff>149679</xdr:rowOff>
    </xdr:from>
    <xdr:to>
      <xdr:col>14</xdr:col>
      <xdr:colOff>195112</xdr:colOff>
      <xdr:row>69</xdr:row>
      <xdr:rowOff>166918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16"/>
        <a:stretch/>
      </xdr:blipFill>
      <xdr:spPr>
        <a:xfrm>
          <a:off x="2181627" y="11217729"/>
          <a:ext cx="8452885" cy="5732239"/>
        </a:xfrm>
        <a:prstGeom prst="rect">
          <a:avLst/>
        </a:prstGeom>
      </xdr:spPr>
    </xdr:pic>
    <xdr:clientData/>
  </xdr:twoCellAnchor>
  <xdr:twoCellAnchor editAs="oneCell">
    <xdr:from>
      <xdr:col>16</xdr:col>
      <xdr:colOff>2010228</xdr:colOff>
      <xdr:row>76</xdr:row>
      <xdr:rowOff>64408</xdr:rowOff>
    </xdr:from>
    <xdr:to>
      <xdr:col>16</xdr:col>
      <xdr:colOff>9033328</xdr:colOff>
      <xdr:row>86</xdr:row>
      <xdr:rowOff>229508</xdr:rowOff>
    </xdr:to>
    <xdr:pic>
      <xdr:nvPicPr>
        <xdr:cNvPr id="8" name="圖片 7" descr="畫面剪輯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753" y="18514333"/>
          <a:ext cx="7023100" cy="2546350"/>
        </a:xfrm>
        <a:prstGeom prst="rect">
          <a:avLst/>
        </a:prstGeom>
      </xdr:spPr>
    </xdr:pic>
    <xdr:clientData/>
  </xdr:twoCellAnchor>
  <xdr:twoCellAnchor>
    <xdr:from>
      <xdr:col>16</xdr:col>
      <xdr:colOff>4778828</xdr:colOff>
      <xdr:row>83</xdr:row>
      <xdr:rowOff>89808</xdr:rowOff>
    </xdr:from>
    <xdr:to>
      <xdr:col>16</xdr:col>
      <xdr:colOff>6033887</xdr:colOff>
      <xdr:row>84</xdr:row>
      <xdr:rowOff>230255</xdr:rowOff>
    </xdr:to>
    <xdr:sp macro="" textlink="">
      <xdr:nvSpPr>
        <xdr:cNvPr id="9" name="矩形: 圓角 1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6218353" y="20206608"/>
          <a:ext cx="1255059" cy="378572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4791528</xdr:colOff>
      <xdr:row>77</xdr:row>
      <xdr:rowOff>166008</xdr:rowOff>
    </xdr:from>
    <xdr:to>
      <xdr:col>16</xdr:col>
      <xdr:colOff>6046587</xdr:colOff>
      <xdr:row>79</xdr:row>
      <xdr:rowOff>65155</xdr:rowOff>
    </xdr:to>
    <xdr:sp macro="" textlink="">
      <xdr:nvSpPr>
        <xdr:cNvPr id="10" name="矩形: 圓角 1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6231053" y="18854058"/>
          <a:ext cx="1255059" cy="37539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681507</xdr:colOff>
      <xdr:row>9</xdr:row>
      <xdr:rowOff>0</xdr:rowOff>
    </xdr:from>
    <xdr:to>
      <xdr:col>13</xdr:col>
      <xdr:colOff>555821</xdr:colOff>
      <xdr:row>18</xdr:row>
      <xdr:rowOff>67890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357" y="2133600"/>
          <a:ext cx="7780064" cy="22110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436269</xdr:colOff>
      <xdr:row>22</xdr:row>
      <xdr:rowOff>31650</xdr:rowOff>
    </xdr:from>
    <xdr:to>
      <xdr:col>14</xdr:col>
      <xdr:colOff>413281</xdr:colOff>
      <xdr:row>30</xdr:row>
      <xdr:rowOff>24986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119" y="5260875"/>
          <a:ext cx="8568562" cy="189833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132910</xdr:colOff>
      <xdr:row>37</xdr:row>
      <xdr:rowOff>113591</xdr:rowOff>
    </xdr:from>
    <xdr:to>
      <xdr:col>15</xdr:col>
      <xdr:colOff>61772</xdr:colOff>
      <xdr:row>43</xdr:row>
      <xdr:rowOff>41858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0760" y="8981366"/>
          <a:ext cx="9206212" cy="135701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311719</xdr:colOff>
      <xdr:row>76</xdr:row>
      <xdr:rowOff>222996</xdr:rowOff>
    </xdr:from>
    <xdr:to>
      <xdr:col>12</xdr:col>
      <xdr:colOff>877336</xdr:colOff>
      <xdr:row>85</xdr:row>
      <xdr:rowOff>11241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369" y="18615771"/>
          <a:ext cx="6890217" cy="1931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212912</xdr:colOff>
      <xdr:row>19</xdr:row>
      <xdr:rowOff>44824</xdr:rowOff>
    </xdr:from>
    <xdr:to>
      <xdr:col>26</xdr:col>
      <xdr:colOff>475620</xdr:colOff>
      <xdr:row>28</xdr:row>
      <xdr:rowOff>178819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15662" y="4559674"/>
          <a:ext cx="5063308" cy="2277120"/>
        </a:xfrm>
        <a:prstGeom prst="rect">
          <a:avLst/>
        </a:prstGeom>
      </xdr:spPr>
    </xdr:pic>
    <xdr:clientData/>
  </xdr:twoCellAnchor>
  <xdr:twoCellAnchor editAs="oneCell">
    <xdr:from>
      <xdr:col>2</xdr:col>
      <xdr:colOff>333777</xdr:colOff>
      <xdr:row>46</xdr:row>
      <xdr:rowOff>149679</xdr:rowOff>
    </xdr:from>
    <xdr:to>
      <xdr:col>14</xdr:col>
      <xdr:colOff>195112</xdr:colOff>
      <xdr:row>69</xdr:row>
      <xdr:rowOff>166919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16"/>
        <a:stretch/>
      </xdr:blipFill>
      <xdr:spPr>
        <a:xfrm>
          <a:off x="2181627" y="11160579"/>
          <a:ext cx="8452885" cy="5732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681507</xdr:colOff>
      <xdr:row>9</xdr:row>
      <xdr:rowOff>0</xdr:rowOff>
    </xdr:from>
    <xdr:to>
      <xdr:col>13</xdr:col>
      <xdr:colOff>555821</xdr:colOff>
      <xdr:row>18</xdr:row>
      <xdr:rowOff>67890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642AA6-DEA8-4BEA-A797-FF07C1A05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9357" y="2133600"/>
          <a:ext cx="7770539" cy="22110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436269</xdr:colOff>
      <xdr:row>22</xdr:row>
      <xdr:rowOff>31650</xdr:rowOff>
    </xdr:from>
    <xdr:to>
      <xdr:col>14</xdr:col>
      <xdr:colOff>413281</xdr:colOff>
      <xdr:row>29</xdr:row>
      <xdr:rowOff>215486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5BD6B6B-12D9-4E12-A232-C8723EC63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119" y="5260875"/>
          <a:ext cx="8559037" cy="190786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132910</xdr:colOff>
      <xdr:row>37</xdr:row>
      <xdr:rowOff>113591</xdr:rowOff>
    </xdr:from>
    <xdr:to>
      <xdr:col>15</xdr:col>
      <xdr:colOff>61772</xdr:colOff>
      <xdr:row>43</xdr:row>
      <xdr:rowOff>41859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CABA793-BFC3-4B52-A48B-B2783068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0760" y="9038516"/>
          <a:ext cx="9196687" cy="135701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311719</xdr:colOff>
      <xdr:row>76</xdr:row>
      <xdr:rowOff>222996</xdr:rowOff>
    </xdr:from>
    <xdr:to>
      <xdr:col>12</xdr:col>
      <xdr:colOff>877336</xdr:colOff>
      <xdr:row>85</xdr:row>
      <xdr:rowOff>11241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E52BFFF-57E7-411F-BB69-7AD0F0DA0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5369" y="18672921"/>
          <a:ext cx="6890217" cy="1931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212912</xdr:colOff>
      <xdr:row>19</xdr:row>
      <xdr:rowOff>44823</xdr:rowOff>
    </xdr:from>
    <xdr:to>
      <xdr:col>30</xdr:col>
      <xdr:colOff>30949</xdr:colOff>
      <xdr:row>32</xdr:row>
      <xdr:rowOff>176892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37E5ACE-1010-4B9A-84A9-495A0F439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34737" y="4559673"/>
          <a:ext cx="7361837" cy="3322944"/>
        </a:xfrm>
        <a:prstGeom prst="rect">
          <a:avLst/>
        </a:prstGeom>
      </xdr:spPr>
    </xdr:pic>
    <xdr:clientData/>
  </xdr:twoCellAnchor>
  <xdr:twoCellAnchor editAs="oneCell">
    <xdr:from>
      <xdr:col>2</xdr:col>
      <xdr:colOff>333777</xdr:colOff>
      <xdr:row>46</xdr:row>
      <xdr:rowOff>149679</xdr:rowOff>
    </xdr:from>
    <xdr:to>
      <xdr:col>14</xdr:col>
      <xdr:colOff>195112</xdr:colOff>
      <xdr:row>69</xdr:row>
      <xdr:rowOff>166918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2BADA45D-19D4-497A-B85A-85E6312F89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16"/>
        <a:stretch/>
      </xdr:blipFill>
      <xdr:spPr>
        <a:xfrm>
          <a:off x="2181627" y="11217729"/>
          <a:ext cx="8443360" cy="57322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311719</xdr:colOff>
      <xdr:row>18</xdr:row>
      <xdr:rowOff>0</xdr:rowOff>
    </xdr:from>
    <xdr:to>
      <xdr:col>13</xdr:col>
      <xdr:colOff>86028</xdr:colOff>
      <xdr:row>26</xdr:row>
      <xdr:rowOff>22706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1469" y="18596721"/>
          <a:ext cx="6471117" cy="1931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203200</xdr:colOff>
      <xdr:row>9</xdr:row>
      <xdr:rowOff>12700</xdr:rowOff>
    </xdr:from>
    <xdr:to>
      <xdr:col>15</xdr:col>
      <xdr:colOff>44242</xdr:colOff>
      <xdr:row>16</xdr:row>
      <xdr:rowOff>18561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298700"/>
          <a:ext cx="8480950" cy="1676399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190501</xdr:colOff>
      <xdr:row>15</xdr:row>
      <xdr:rowOff>101601</xdr:rowOff>
    </xdr:from>
    <xdr:to>
      <xdr:col>14</xdr:col>
      <xdr:colOff>72293</xdr:colOff>
      <xdr:row>28</xdr:row>
      <xdr:rowOff>79586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6601" y="3911601"/>
          <a:ext cx="7226299" cy="30943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14</xdr:col>
      <xdr:colOff>266700</xdr:colOff>
      <xdr:row>45</xdr:row>
      <xdr:rowOff>88900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4600" y="8229600"/>
          <a:ext cx="8750300" cy="382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8">
    <tabColor rgb="FFFFC000"/>
    <pageSetUpPr fitToPage="1"/>
  </sheetPr>
  <dimension ref="A1:T89"/>
  <sheetViews>
    <sheetView topLeftCell="D22" zoomScale="75" zoomScaleNormal="75" workbookViewId="0">
      <selection activeCell="Q46" sqref="Q46"/>
    </sheetView>
  </sheetViews>
  <sheetFormatPr defaultColWidth="9" defaultRowHeight="18.75" x14ac:dyDescent="0.25"/>
  <cols>
    <col min="1" max="1" width="10.125" style="4" customWidth="1"/>
    <col min="2" max="2" width="14.125" style="4" bestFit="1" customWidth="1"/>
    <col min="3" max="3" width="9" style="4" customWidth="1"/>
    <col min="4" max="5" width="5.875" style="4" bestFit="1" customWidth="1"/>
    <col min="6" max="6" width="10" style="4" bestFit="1" customWidth="1"/>
    <col min="7" max="7" width="11.375" style="4" customWidth="1"/>
    <col min="8" max="8" width="9" style="4" customWidth="1"/>
    <col min="9" max="9" width="10.625" style="4" bestFit="1" customWidth="1"/>
    <col min="10" max="11" width="10.125" style="4" bestFit="1" customWidth="1"/>
    <col min="12" max="12" width="10" style="4" bestFit="1" customWidth="1"/>
    <col min="13" max="13" width="11.625" style="4" bestFit="1" customWidth="1"/>
    <col min="14" max="15" width="9" style="4" customWidth="1"/>
    <col min="16" max="16" width="4.125" style="4" customWidth="1"/>
    <col min="17" max="17" width="122" style="4" bestFit="1" customWidth="1"/>
    <col min="18" max="18" width="12" style="4" bestFit="1" customWidth="1"/>
    <col min="19" max="19" width="7.625" style="4" customWidth="1"/>
    <col min="20" max="16384" width="9" style="4"/>
  </cols>
  <sheetData>
    <row r="1" spans="1:19" x14ac:dyDescent="0.25">
      <c r="A1" s="25"/>
      <c r="B1" s="25"/>
    </row>
    <row r="2" spans="1:19" x14ac:dyDescent="0.25">
      <c r="A2" s="25"/>
      <c r="B2" s="25" t="s">
        <v>42</v>
      </c>
    </row>
    <row r="4" spans="1:19" ht="17.25" customHeight="1" thickBot="1" x14ac:dyDescent="0.3">
      <c r="B4" s="160"/>
      <c r="C4" s="11"/>
      <c r="D4" s="28"/>
      <c r="E4" s="163" t="s">
        <v>43</v>
      </c>
      <c r="F4" s="163"/>
      <c r="G4" s="163"/>
      <c r="H4" s="163"/>
      <c r="I4" s="163"/>
      <c r="J4" s="163"/>
      <c r="K4" s="163"/>
      <c r="L4" s="163"/>
      <c r="M4" s="163"/>
      <c r="N4" s="163"/>
      <c r="O4" s="28"/>
      <c r="P4" s="12"/>
      <c r="Q4" s="164" t="s">
        <v>16</v>
      </c>
      <c r="R4" s="165"/>
      <c r="S4" s="166"/>
    </row>
    <row r="5" spans="1:19" ht="19.5" thickTop="1" x14ac:dyDescent="0.25">
      <c r="B5" s="161"/>
      <c r="C5" s="32"/>
      <c r="E5" s="33" t="s">
        <v>2</v>
      </c>
      <c r="F5" s="33" t="s">
        <v>0</v>
      </c>
      <c r="G5" s="33" t="s">
        <v>3</v>
      </c>
      <c r="H5" s="33" t="s">
        <v>4</v>
      </c>
      <c r="I5" s="33" t="s">
        <v>5</v>
      </c>
      <c r="J5" s="33" t="s">
        <v>6</v>
      </c>
      <c r="K5" s="33" t="s">
        <v>7</v>
      </c>
      <c r="L5" s="33" t="s">
        <v>8</v>
      </c>
      <c r="M5" s="33" t="s">
        <v>9</v>
      </c>
      <c r="N5" s="33" t="s">
        <v>10</v>
      </c>
      <c r="O5" s="33"/>
      <c r="P5" s="34"/>
      <c r="Q5" s="167"/>
      <c r="R5" s="168"/>
      <c r="S5" s="169"/>
    </row>
    <row r="6" spans="1:19" x14ac:dyDescent="0.25">
      <c r="B6" s="161"/>
      <c r="C6" s="32"/>
      <c r="E6" s="33" t="s">
        <v>11</v>
      </c>
      <c r="F6" s="33" t="s">
        <v>11</v>
      </c>
      <c r="G6" s="33" t="s">
        <v>12</v>
      </c>
      <c r="H6" s="33" t="s">
        <v>12</v>
      </c>
      <c r="I6" s="33" t="s">
        <v>11</v>
      </c>
      <c r="J6" s="33" t="s">
        <v>13</v>
      </c>
      <c r="K6" s="33" t="s">
        <v>14</v>
      </c>
      <c r="L6" s="33" t="s">
        <v>14</v>
      </c>
      <c r="M6" s="33" t="s">
        <v>15</v>
      </c>
      <c r="N6" s="33" t="s">
        <v>11</v>
      </c>
      <c r="O6" s="33"/>
      <c r="P6" s="34"/>
      <c r="Q6" s="167"/>
      <c r="R6" s="168"/>
      <c r="S6" s="169"/>
    </row>
    <row r="7" spans="1:19" x14ac:dyDescent="0.25">
      <c r="B7" s="161"/>
      <c r="C7" s="32"/>
      <c r="E7" s="1">
        <v>40</v>
      </c>
      <c r="F7" s="1">
        <v>70</v>
      </c>
      <c r="G7" s="2">
        <v>22</v>
      </c>
      <c r="H7" s="2">
        <v>13</v>
      </c>
      <c r="I7" s="1">
        <v>4</v>
      </c>
      <c r="J7" s="1">
        <v>280</v>
      </c>
      <c r="K7" s="1">
        <v>4200</v>
      </c>
      <c r="L7" s="1">
        <v>4200</v>
      </c>
      <c r="M7" s="3">
        <v>7</v>
      </c>
      <c r="N7" s="1">
        <v>10</v>
      </c>
      <c r="O7" s="33"/>
      <c r="P7" s="34"/>
      <c r="Q7" s="167"/>
      <c r="R7" s="168"/>
      <c r="S7" s="169"/>
    </row>
    <row r="8" spans="1:19" x14ac:dyDescent="0.25">
      <c r="B8" s="162"/>
      <c r="C8" s="35"/>
      <c r="E8" s="36"/>
      <c r="F8" s="36"/>
      <c r="G8" s="13">
        <f>G7/10</f>
        <v>2.2000000000000002</v>
      </c>
      <c r="H8" s="13">
        <f>H7/10</f>
        <v>1.3</v>
      </c>
      <c r="I8" s="36"/>
      <c r="J8" s="36"/>
      <c r="K8" s="36"/>
      <c r="L8" s="36"/>
      <c r="M8" s="36"/>
      <c r="N8" s="36"/>
      <c r="O8" s="36"/>
      <c r="P8" s="37"/>
      <c r="Q8" s="170"/>
      <c r="R8" s="171"/>
      <c r="S8" s="172"/>
    </row>
    <row r="9" spans="1:19" x14ac:dyDescent="0.25">
      <c r="B9" s="160">
        <v>1</v>
      </c>
      <c r="C9" s="29"/>
      <c r="D9" s="26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Q9" s="39"/>
      <c r="R9" s="40"/>
      <c r="S9" s="41"/>
    </row>
    <row r="10" spans="1:19" x14ac:dyDescent="0.25">
      <c r="B10" s="161"/>
      <c r="C10" s="32"/>
      <c r="D10" s="2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  <c r="Q10" s="16" t="s">
        <v>21</v>
      </c>
      <c r="R10" s="24">
        <f>((E7-2*I7-2*H8-M7*G8)/(M7-1))/G8</f>
        <v>1.0606060606060601</v>
      </c>
      <c r="S10" s="19" t="s">
        <v>20</v>
      </c>
    </row>
    <row r="11" spans="1:19" x14ac:dyDescent="0.25">
      <c r="B11" s="161"/>
      <c r="C11" s="32"/>
      <c r="D11" s="2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/>
      <c r="Q11" s="16"/>
      <c r="R11" s="17"/>
      <c r="S11" s="19"/>
    </row>
    <row r="12" spans="1:19" x14ac:dyDescent="0.25">
      <c r="B12" s="161"/>
      <c r="C12" s="32"/>
      <c r="D12" s="2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5" t="s">
        <v>33</v>
      </c>
      <c r="R12" s="20">
        <f>MIN(R13,R14)</f>
        <v>2.2666666666666666</v>
      </c>
      <c r="S12" s="44" t="s">
        <v>1</v>
      </c>
    </row>
    <row r="13" spans="1:19" x14ac:dyDescent="0.25">
      <c r="B13" s="161"/>
      <c r="C13" s="32"/>
      <c r="D13" s="27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5" t="s">
        <v>63</v>
      </c>
      <c r="R13" s="20">
        <f>I7+H8 + G8/2</f>
        <v>6.4</v>
      </c>
      <c r="S13" s="44" t="s">
        <v>11</v>
      </c>
    </row>
    <row r="14" spans="1:19" x14ac:dyDescent="0.25">
      <c r="B14" s="161"/>
      <c r="C14" s="32"/>
      <c r="D14" s="2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5" t="s">
        <v>73</v>
      </c>
      <c r="R14" s="20">
        <f>((E7-G8*M7-H8*2-I7*2)/(M7-1) + G8)/2</f>
        <v>2.2666666666666666</v>
      </c>
      <c r="S14" s="44" t="s">
        <v>1</v>
      </c>
    </row>
    <row r="15" spans="1:19" x14ac:dyDescent="0.25">
      <c r="B15" s="161"/>
      <c r="C15" s="32"/>
      <c r="D15" s="2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4"/>
    </row>
    <row r="16" spans="1:19" x14ac:dyDescent="0.25">
      <c r="B16" s="161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9" t="s">
        <v>61</v>
      </c>
      <c r="R16" s="6">
        <f>I7+H8</f>
        <v>5.3</v>
      </c>
      <c r="S16" s="44" t="s">
        <v>59</v>
      </c>
    </row>
    <row r="17" spans="2:19" x14ac:dyDescent="0.25">
      <c r="B17" s="161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9" t="s">
        <v>60</v>
      </c>
      <c r="R17" s="6">
        <f>(E7-G8*M7-H8*2-I7*2)/2/(M7-1)</f>
        <v>1.1666666666666663</v>
      </c>
      <c r="S17" s="44" t="s">
        <v>59</v>
      </c>
    </row>
    <row r="18" spans="2:19" x14ac:dyDescent="0.25">
      <c r="B18" s="161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"/>
      <c r="R18" s="43" t="str">
        <f>IF(R17&lt;R16,"屬水平式劈裂","屬垂直式劈裂")</f>
        <v>屬水平式劈裂</v>
      </c>
      <c r="S18" s="44"/>
    </row>
    <row r="19" spans="2:19" x14ac:dyDescent="0.25">
      <c r="B19" s="161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42"/>
      <c r="R19" s="43"/>
      <c r="S19" s="44"/>
    </row>
    <row r="20" spans="2:19" x14ac:dyDescent="0.25">
      <c r="B20" s="162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  <c r="Q20" s="45"/>
      <c r="R20" s="46"/>
      <c r="S20" s="47"/>
    </row>
    <row r="21" spans="2:19" x14ac:dyDescent="0.25">
      <c r="B21" s="160">
        <v>2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29"/>
      <c r="R21" s="30"/>
      <c r="S21" s="31"/>
    </row>
    <row r="22" spans="2:19" x14ac:dyDescent="0.25">
      <c r="B22" s="161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  <c r="Q22" s="5" t="s">
        <v>22</v>
      </c>
      <c r="R22" s="33"/>
      <c r="S22" s="34"/>
    </row>
    <row r="23" spans="2:19" ht="21" x14ac:dyDescent="0.25">
      <c r="B23" s="161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4"/>
      <c r="Q23" s="5" t="s">
        <v>50</v>
      </c>
      <c r="R23" s="20">
        <f>2*PI()*H8^2/4</f>
        <v>2.6546457922833753</v>
      </c>
      <c r="S23" s="34" t="s">
        <v>24</v>
      </c>
    </row>
    <row r="24" spans="2:19" x14ac:dyDescent="0.25">
      <c r="B24" s="161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  <c r="Q24" s="5" t="s">
        <v>25</v>
      </c>
      <c r="R24" s="20">
        <f>R23*L7/105/N7/M7</f>
        <v>1.5169404527333576</v>
      </c>
      <c r="S24" s="34" t="s">
        <v>1</v>
      </c>
    </row>
    <row r="25" spans="2:19" x14ac:dyDescent="0.25">
      <c r="B25" s="161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5"/>
      <c r="S25" s="34"/>
    </row>
    <row r="26" spans="2:19" x14ac:dyDescent="0.25">
      <c r="B26" s="161"/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4"/>
      <c r="Q26" s="5" t="s">
        <v>23</v>
      </c>
      <c r="R26" s="14"/>
      <c r="S26" s="15"/>
    </row>
    <row r="27" spans="2:19" ht="21" x14ac:dyDescent="0.25">
      <c r="B27" s="161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5" t="s">
        <v>51</v>
      </c>
      <c r="R27" s="20">
        <f>PI()*H8^2/4</f>
        <v>1.3273228961416876</v>
      </c>
      <c r="S27" s="34" t="s">
        <v>24</v>
      </c>
    </row>
    <row r="28" spans="2:19" x14ac:dyDescent="0.25">
      <c r="B28" s="161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5" t="s">
        <v>35</v>
      </c>
      <c r="R28" s="20">
        <f>R27*L7/105/N7</f>
        <v>5.3092915845667514</v>
      </c>
      <c r="S28" s="34" t="s">
        <v>1</v>
      </c>
    </row>
    <row r="29" spans="2:19" x14ac:dyDescent="0.25">
      <c r="B29" s="161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5"/>
      <c r="R29" s="20"/>
      <c r="S29" s="15"/>
    </row>
    <row r="30" spans="2:19" x14ac:dyDescent="0.25">
      <c r="B30" s="161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16" t="str">
        <f>IF(R14&lt;R13,"水平式劈裂 Ktr =","垂直式劈裂 Ktr =")</f>
        <v>水平式劈裂 Ktr =</v>
      </c>
      <c r="R30" s="18">
        <f>IF(R14&lt;R13,2*PI()*H8^2/4*L7/105/N7/M7,PI()*H8^2/4*L7/105/N7)</f>
        <v>1.5169404527333576</v>
      </c>
      <c r="S30" s="19" t="s">
        <v>1</v>
      </c>
    </row>
    <row r="31" spans="2:19" x14ac:dyDescent="0.25">
      <c r="B31" s="161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"/>
      <c r="R31" s="20"/>
      <c r="S31" s="34"/>
    </row>
    <row r="32" spans="2:19" ht="21.75" x14ac:dyDescent="0.25">
      <c r="B32" s="161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4"/>
      <c r="Q32" s="5" t="s">
        <v>54</v>
      </c>
      <c r="R32" s="6">
        <f>IF(G8/(R12+R30)&lt;0.4,0.4,G8/(R12+R30))</f>
        <v>0.58145571952218433</v>
      </c>
      <c r="S32" s="34"/>
    </row>
    <row r="33" spans="2:19" x14ac:dyDescent="0.25">
      <c r="B33" s="161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4"/>
      <c r="Q33" s="32"/>
      <c r="R33" s="33"/>
      <c r="S33" s="34"/>
    </row>
    <row r="34" spans="2:19" x14ac:dyDescent="0.25">
      <c r="B34" s="162"/>
      <c r="C34" s="3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35"/>
      <c r="R34" s="36"/>
      <c r="S34" s="37"/>
    </row>
    <row r="35" spans="2:19" x14ac:dyDescent="0.25">
      <c r="B35" s="160">
        <v>3</v>
      </c>
      <c r="C35" s="29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29"/>
      <c r="R35" s="30"/>
      <c r="S35" s="31"/>
    </row>
    <row r="36" spans="2:19" x14ac:dyDescent="0.25">
      <c r="B36" s="161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4"/>
      <c r="R36" s="33"/>
      <c r="S36" s="34"/>
    </row>
    <row r="37" spans="2:19" ht="21" x14ac:dyDescent="0.25">
      <c r="B37" s="161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5" t="s">
        <v>75</v>
      </c>
      <c r="R37" s="20">
        <f>0.28*K7*G8/SQRT(J7)</f>
        <v>154.61477290349717</v>
      </c>
      <c r="S37" s="34" t="s">
        <v>1</v>
      </c>
    </row>
    <row r="38" spans="2:19" x14ac:dyDescent="0.25">
      <c r="B38" s="161"/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4"/>
      <c r="Q38" s="5"/>
      <c r="R38" s="20"/>
      <c r="S38" s="34"/>
    </row>
    <row r="39" spans="2:19" x14ac:dyDescent="0.25">
      <c r="B39" s="161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5" t="s">
        <v>38</v>
      </c>
      <c r="R39" s="6">
        <f>R51*R55*R61*R66*R32</f>
        <v>0.75589243537883966</v>
      </c>
      <c r="S39" s="34"/>
    </row>
    <row r="40" spans="2:19" x14ac:dyDescent="0.25">
      <c r="B40" s="161"/>
      <c r="C40" s="32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4"/>
      <c r="Q40" s="5" t="s">
        <v>41</v>
      </c>
      <c r="R40" s="6">
        <f>R52*R55*R61*R66*R32</f>
        <v>0.58145571952218433</v>
      </c>
      <c r="S40" s="34"/>
    </row>
    <row r="41" spans="2:19" x14ac:dyDescent="0.25">
      <c r="B41" s="161"/>
      <c r="C41" s="32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4"/>
      <c r="Q41" s="5"/>
      <c r="S41" s="169"/>
    </row>
    <row r="42" spans="2:19" x14ac:dyDescent="0.25">
      <c r="B42" s="161"/>
      <c r="C42" s="32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5"/>
      <c r="R42" s="14"/>
      <c r="S42" s="169"/>
    </row>
    <row r="43" spans="2:19" x14ac:dyDescent="0.25">
      <c r="B43" s="161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5" t="s">
        <v>55</v>
      </c>
      <c r="R43" s="20">
        <f>R37*R39</f>
        <v>116.8721372355707</v>
      </c>
      <c r="S43" s="34" t="s">
        <v>1</v>
      </c>
    </row>
    <row r="44" spans="2:19" x14ac:dyDescent="0.25">
      <c r="B44" s="161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4"/>
      <c r="Q44" s="5" t="s">
        <v>56</v>
      </c>
      <c r="R44" s="20">
        <f>R37*R40</f>
        <v>89.901644027362082</v>
      </c>
      <c r="S44" s="34" t="s">
        <v>1</v>
      </c>
    </row>
    <row r="45" spans="2:19" x14ac:dyDescent="0.25">
      <c r="B45" s="161"/>
      <c r="C45" s="32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4"/>
      <c r="Q45" s="32"/>
      <c r="R45" s="33"/>
      <c r="S45" s="34"/>
    </row>
    <row r="46" spans="2:19" x14ac:dyDescent="0.25">
      <c r="B46" s="161"/>
      <c r="C46" s="32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4"/>
      <c r="Q46" s="32"/>
      <c r="R46" s="33"/>
      <c r="S46" s="34"/>
    </row>
    <row r="47" spans="2:19" ht="37.5" x14ac:dyDescent="0.25">
      <c r="B47" s="161"/>
      <c r="C47" s="32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4"/>
      <c r="Q47" s="7" t="s">
        <v>17</v>
      </c>
      <c r="R47" s="33"/>
      <c r="S47" s="34"/>
    </row>
    <row r="48" spans="2:19" x14ac:dyDescent="0.25">
      <c r="B48" s="161"/>
      <c r="C48" s="32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8"/>
      <c r="R48" s="33"/>
      <c r="S48" s="34"/>
    </row>
    <row r="49" spans="2:19" x14ac:dyDescent="0.25">
      <c r="B49" s="161"/>
      <c r="C49" s="32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4"/>
      <c r="Q49" s="8"/>
      <c r="R49" s="33"/>
      <c r="S49" s="34"/>
    </row>
    <row r="50" spans="2:19" x14ac:dyDescent="0.25">
      <c r="B50" s="161"/>
      <c r="C50" s="32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4"/>
      <c r="Q50" s="8" t="s">
        <v>37</v>
      </c>
      <c r="S50" s="34"/>
    </row>
    <row r="51" spans="2:19" x14ac:dyDescent="0.25">
      <c r="B51" s="161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4"/>
      <c r="Q51" s="23" t="s">
        <v>39</v>
      </c>
      <c r="R51" s="22">
        <v>1.3</v>
      </c>
      <c r="S51" s="34"/>
    </row>
    <row r="52" spans="2:19" x14ac:dyDescent="0.25">
      <c r="B52" s="161"/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4"/>
      <c r="Q52" s="23" t="s">
        <v>40</v>
      </c>
      <c r="R52" s="21">
        <v>1</v>
      </c>
      <c r="S52" s="34"/>
    </row>
    <row r="53" spans="2:19" x14ac:dyDescent="0.25">
      <c r="B53" s="161"/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4"/>
      <c r="Q53" s="8"/>
      <c r="R53" s="33"/>
      <c r="S53" s="34"/>
    </row>
    <row r="54" spans="2:19" x14ac:dyDescent="0.25">
      <c r="B54" s="161"/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4"/>
      <c r="Q54" s="8"/>
      <c r="R54" s="33"/>
      <c r="S54" s="34"/>
    </row>
    <row r="55" spans="2:19" x14ac:dyDescent="0.25">
      <c r="B55" s="161"/>
      <c r="C55" s="32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4"/>
      <c r="Q55" s="8" t="s">
        <v>18</v>
      </c>
      <c r="R55" s="21">
        <v>1</v>
      </c>
      <c r="S55" s="34"/>
    </row>
    <row r="56" spans="2:19" x14ac:dyDescent="0.25">
      <c r="B56" s="161"/>
      <c r="C56" s="32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4"/>
      <c r="Q56" s="8"/>
      <c r="R56" s="22"/>
      <c r="S56" s="34"/>
    </row>
    <row r="57" spans="2:19" x14ac:dyDescent="0.25">
      <c r="B57" s="161"/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4"/>
      <c r="Q57" s="8"/>
      <c r="R57" s="22"/>
      <c r="S57" s="34"/>
    </row>
    <row r="58" spans="2:19" x14ac:dyDescent="0.25">
      <c r="B58" s="161"/>
      <c r="C58" s="32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4"/>
      <c r="Q58" s="8"/>
      <c r="R58" s="22"/>
      <c r="S58" s="34"/>
    </row>
    <row r="59" spans="2:19" x14ac:dyDescent="0.25">
      <c r="B59" s="161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4"/>
      <c r="Q59" s="8"/>
      <c r="R59" s="22"/>
      <c r="S59" s="34"/>
    </row>
    <row r="60" spans="2:19" x14ac:dyDescent="0.25">
      <c r="B60" s="161"/>
      <c r="C60" s="32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4"/>
      <c r="Q60" s="8"/>
      <c r="R60" s="22"/>
      <c r="S60" s="34"/>
    </row>
    <row r="61" spans="2:19" x14ac:dyDescent="0.25">
      <c r="B61" s="161"/>
      <c r="C61" s="32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4"/>
      <c r="Q61" s="8" t="str">
        <f>IF(G8&gt;2.2,"(3) D22或較大之鋼筋       ==&gt; ψs = 1.0","(3) D19或較小之鋼筋及麻面鋼線       ==&gt; ψs = 0.8")</f>
        <v>(3) D19或較小之鋼筋及麻面鋼線       ==&gt; ψs = 0.8</v>
      </c>
      <c r="R61" s="21">
        <f>IF(G8&gt;2,1,0.8)</f>
        <v>1</v>
      </c>
      <c r="S61" s="34"/>
    </row>
    <row r="62" spans="2:19" x14ac:dyDescent="0.25">
      <c r="B62" s="161"/>
      <c r="C62" s="32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4"/>
      <c r="Q62" s="8"/>
      <c r="R62" s="22"/>
      <c r="S62" s="34"/>
    </row>
    <row r="63" spans="2:19" x14ac:dyDescent="0.25">
      <c r="B63" s="161"/>
      <c r="C63" s="32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4"/>
      <c r="Q63" s="8"/>
      <c r="R63" s="22"/>
      <c r="S63" s="34"/>
    </row>
    <row r="64" spans="2:19" x14ac:dyDescent="0.25">
      <c r="B64" s="161"/>
      <c r="C64" s="32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4"/>
      <c r="Q64" s="8"/>
      <c r="R64" s="22"/>
      <c r="S64" s="34"/>
    </row>
    <row r="65" spans="2:20" x14ac:dyDescent="0.25">
      <c r="B65" s="161"/>
      <c r="C65" s="32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4"/>
      <c r="Q65" s="8"/>
      <c r="R65" s="22"/>
      <c r="S65" s="34"/>
    </row>
    <row r="66" spans="2:20" x14ac:dyDescent="0.25">
      <c r="B66" s="161"/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4"/>
      <c r="Q66" s="8" t="s">
        <v>36</v>
      </c>
      <c r="R66" s="21">
        <v>1</v>
      </c>
      <c r="S66" s="34"/>
    </row>
    <row r="67" spans="2:20" x14ac:dyDescent="0.25">
      <c r="B67" s="161"/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4"/>
      <c r="S67" s="34"/>
    </row>
    <row r="68" spans="2:20" x14ac:dyDescent="0.25">
      <c r="B68" s="161"/>
      <c r="C68" s="32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4"/>
    </row>
    <row r="69" spans="2:20" x14ac:dyDescent="0.25">
      <c r="B69" s="161"/>
      <c r="C69" s="32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4"/>
      <c r="Q69" s="32"/>
      <c r="R69" s="33"/>
      <c r="S69" s="34"/>
    </row>
    <row r="70" spans="2:20" x14ac:dyDescent="0.25">
      <c r="B70" s="161"/>
      <c r="C70" s="32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4"/>
      <c r="Q70" s="32"/>
      <c r="R70" s="33"/>
      <c r="S70" s="34"/>
    </row>
    <row r="71" spans="2:20" x14ac:dyDescent="0.25">
      <c r="B71" s="162"/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7"/>
      <c r="Q71" s="35"/>
      <c r="R71" s="36"/>
      <c r="S71" s="37"/>
    </row>
    <row r="72" spans="2:20" x14ac:dyDescent="0.25">
      <c r="B72" s="160">
        <v>4</v>
      </c>
      <c r="C72" s="32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4"/>
      <c r="Q72" s="29"/>
      <c r="R72" s="30"/>
      <c r="S72" s="31"/>
    </row>
    <row r="73" spans="2:20" x14ac:dyDescent="0.25">
      <c r="B73" s="161"/>
      <c r="C73" s="32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4"/>
      <c r="Q73" s="5"/>
      <c r="R73" s="33"/>
      <c r="S73" s="34"/>
    </row>
    <row r="74" spans="2:20" x14ac:dyDescent="0.25">
      <c r="B74" s="161"/>
      <c r="C74" s="32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4"/>
      <c r="Q74" s="9" t="s">
        <v>57</v>
      </c>
      <c r="R74" s="10">
        <f>ROUNDUP(MAX(R43*1.3,30),0)</f>
        <v>152</v>
      </c>
      <c r="S74" s="34" t="s">
        <v>1</v>
      </c>
    </row>
    <row r="75" spans="2:20" x14ac:dyDescent="0.25">
      <c r="B75" s="161"/>
      <c r="C75" s="32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4"/>
      <c r="Q75" s="5" t="s">
        <v>58</v>
      </c>
      <c r="R75" s="10">
        <f>ROUNDUP(MAX(R44*1.3,30),0)</f>
        <v>117</v>
      </c>
      <c r="S75" s="34" t="s">
        <v>1</v>
      </c>
    </row>
    <row r="76" spans="2:20" x14ac:dyDescent="0.25">
      <c r="B76" s="161"/>
      <c r="C76" s="32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4"/>
      <c r="Q76" s="5"/>
      <c r="R76" s="33"/>
      <c r="S76" s="34"/>
    </row>
    <row r="77" spans="2:20" x14ac:dyDescent="0.25">
      <c r="B77" s="161"/>
      <c r="C77" s="32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4"/>
      <c r="Q77" s="5"/>
      <c r="R77" s="33"/>
      <c r="S77" s="34"/>
    </row>
    <row r="78" spans="2:20" x14ac:dyDescent="0.25">
      <c r="B78" s="161"/>
      <c r="C78" s="32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4"/>
      <c r="Q78" s="32"/>
      <c r="R78" s="33"/>
      <c r="S78" s="34"/>
    </row>
    <row r="79" spans="2:20" x14ac:dyDescent="0.25">
      <c r="B79" s="161"/>
      <c r="C79" s="32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4"/>
      <c r="Q79" s="32"/>
      <c r="R79" s="33"/>
      <c r="S79" s="34"/>
      <c r="T79" s="33"/>
    </row>
    <row r="80" spans="2:20" x14ac:dyDescent="0.25">
      <c r="B80" s="161"/>
      <c r="C80" s="32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4"/>
      <c r="Q80" s="32"/>
      <c r="R80" s="33"/>
      <c r="S80" s="34"/>
      <c r="T80" s="33"/>
    </row>
    <row r="81" spans="2:20" x14ac:dyDescent="0.25">
      <c r="B81" s="161"/>
      <c r="C81" s="32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4"/>
      <c r="Q81" s="32"/>
      <c r="R81" s="33"/>
      <c r="S81" s="34"/>
      <c r="T81" s="33"/>
    </row>
    <row r="82" spans="2:20" x14ac:dyDescent="0.25">
      <c r="B82" s="161"/>
      <c r="C82" s="3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4"/>
      <c r="Q82" s="32"/>
      <c r="R82" s="33"/>
      <c r="S82" s="34"/>
      <c r="T82" s="33"/>
    </row>
    <row r="83" spans="2:20" x14ac:dyDescent="0.25">
      <c r="B83" s="161"/>
      <c r="C83" s="32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4"/>
      <c r="Q83" s="32"/>
      <c r="R83" s="33"/>
      <c r="S83" s="34"/>
      <c r="T83" s="33"/>
    </row>
    <row r="84" spans="2:20" x14ac:dyDescent="0.25">
      <c r="B84" s="161"/>
      <c r="C84" s="32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4"/>
      <c r="Q84" s="32"/>
      <c r="R84" s="33"/>
      <c r="S84" s="34"/>
      <c r="T84" s="33"/>
    </row>
    <row r="85" spans="2:20" x14ac:dyDescent="0.25">
      <c r="B85" s="161"/>
      <c r="C85" s="32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4"/>
      <c r="Q85" s="32"/>
      <c r="R85" s="33"/>
      <c r="S85" s="34"/>
      <c r="T85" s="33"/>
    </row>
    <row r="86" spans="2:20" x14ac:dyDescent="0.25">
      <c r="B86" s="161"/>
      <c r="C86" s="32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4"/>
      <c r="Q86" s="32"/>
      <c r="R86" s="33"/>
      <c r="S86" s="34"/>
      <c r="T86" s="33"/>
    </row>
    <row r="87" spans="2:20" x14ac:dyDescent="0.25">
      <c r="B87" s="161"/>
      <c r="C87" s="32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4"/>
      <c r="Q87" s="32"/>
      <c r="R87" s="33"/>
      <c r="S87" s="34"/>
      <c r="T87" s="33"/>
    </row>
    <row r="88" spans="2:20" x14ac:dyDescent="0.25">
      <c r="B88" s="161"/>
      <c r="C88" s="32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4"/>
      <c r="Q88" s="32"/>
      <c r="R88" s="33"/>
      <c r="S88" s="34"/>
      <c r="T88" s="33"/>
    </row>
    <row r="89" spans="2:20" x14ac:dyDescent="0.25">
      <c r="B89" s="162"/>
      <c r="C89" s="35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7"/>
      <c r="Q89" s="35"/>
      <c r="R89" s="36"/>
      <c r="S89" s="37"/>
    </row>
  </sheetData>
  <mergeCells count="8">
    <mergeCell ref="B72:B89"/>
    <mergeCell ref="B4:B8"/>
    <mergeCell ref="E4:N4"/>
    <mergeCell ref="Q4:S8"/>
    <mergeCell ref="B9:B20"/>
    <mergeCell ref="B21:B34"/>
    <mergeCell ref="B35:B71"/>
    <mergeCell ref="S41:S42"/>
  </mergeCells>
  <phoneticPr fontId="1" type="noConversion"/>
  <pageMargins left="0.11811023622047245" right="0.70866141732283472" top="0.74803149606299213" bottom="0.74803149606299213" header="0.31496062992125984" footer="0.31496062992125984"/>
  <pageSetup paperSize="8"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0">
    <tabColor rgb="FFFFC000"/>
    <pageSetUpPr fitToPage="1"/>
  </sheetPr>
  <dimension ref="A1:T89"/>
  <sheetViews>
    <sheetView zoomScale="75" zoomScaleNormal="75" workbookViewId="0">
      <selection activeCell="Q38" sqref="Q38"/>
    </sheetView>
  </sheetViews>
  <sheetFormatPr defaultColWidth="9" defaultRowHeight="18.75" x14ac:dyDescent="0.25"/>
  <cols>
    <col min="1" max="1" width="10.125" style="4" customWidth="1"/>
    <col min="2" max="2" width="14.125" style="4" bestFit="1" customWidth="1"/>
    <col min="3" max="3" width="9" style="4" customWidth="1"/>
    <col min="4" max="5" width="5.875" style="4" bestFit="1" customWidth="1"/>
    <col min="6" max="6" width="10" style="4" bestFit="1" customWidth="1"/>
    <col min="7" max="7" width="11.375" style="4" customWidth="1"/>
    <col min="8" max="8" width="9" style="4" customWidth="1"/>
    <col min="9" max="9" width="10.625" style="4" bestFit="1" customWidth="1"/>
    <col min="10" max="11" width="10.125" style="4" bestFit="1" customWidth="1"/>
    <col min="12" max="12" width="10" style="4" bestFit="1" customWidth="1"/>
    <col min="13" max="13" width="11.625" style="4" bestFit="1" customWidth="1"/>
    <col min="14" max="15" width="9" style="4" customWidth="1"/>
    <col min="16" max="16" width="4.125" style="4" customWidth="1"/>
    <col min="17" max="17" width="122" style="4" bestFit="1" customWidth="1"/>
    <col min="18" max="18" width="12" style="4" bestFit="1" customWidth="1"/>
    <col min="19" max="19" width="7.625" style="4" customWidth="1"/>
    <col min="20" max="16384" width="9" style="4"/>
  </cols>
  <sheetData>
    <row r="1" spans="1:19" x14ac:dyDescent="0.25">
      <c r="A1" s="25"/>
      <c r="B1" s="25"/>
    </row>
    <row r="2" spans="1:19" x14ac:dyDescent="0.25">
      <c r="A2" s="25"/>
      <c r="B2" s="25" t="s">
        <v>44</v>
      </c>
    </row>
    <row r="4" spans="1:19" ht="17.25" customHeight="1" thickBot="1" x14ac:dyDescent="0.3">
      <c r="B4" s="160"/>
      <c r="C4" s="11"/>
      <c r="D4" s="38"/>
      <c r="E4" s="163" t="s">
        <v>43</v>
      </c>
      <c r="F4" s="163"/>
      <c r="G4" s="163"/>
      <c r="H4" s="163"/>
      <c r="I4" s="163"/>
      <c r="J4" s="163"/>
      <c r="K4" s="163"/>
      <c r="L4" s="163"/>
      <c r="M4" s="163"/>
      <c r="N4" s="163"/>
      <c r="O4" s="38"/>
      <c r="P4" s="12"/>
      <c r="Q4" s="164" t="s">
        <v>16</v>
      </c>
      <c r="R4" s="165"/>
      <c r="S4" s="166"/>
    </row>
    <row r="5" spans="1:19" ht="19.5" thickTop="1" x14ac:dyDescent="0.25">
      <c r="B5" s="161"/>
      <c r="C5" s="42"/>
      <c r="E5" s="43" t="s">
        <v>2</v>
      </c>
      <c r="F5" s="43" t="s">
        <v>0</v>
      </c>
      <c r="G5" s="43" t="s">
        <v>3</v>
      </c>
      <c r="H5" s="43" t="s">
        <v>4</v>
      </c>
      <c r="I5" s="43" t="s">
        <v>5</v>
      </c>
      <c r="J5" s="43" t="s">
        <v>6</v>
      </c>
      <c r="K5" s="43" t="s">
        <v>7</v>
      </c>
      <c r="L5" s="43" t="s">
        <v>8</v>
      </c>
      <c r="M5" s="43" t="s">
        <v>9</v>
      </c>
      <c r="N5" s="43" t="s">
        <v>10</v>
      </c>
      <c r="O5" s="43"/>
      <c r="P5" s="44"/>
      <c r="Q5" s="167"/>
      <c r="R5" s="168"/>
      <c r="S5" s="169"/>
    </row>
    <row r="6" spans="1:19" x14ac:dyDescent="0.25">
      <c r="B6" s="161"/>
      <c r="C6" s="42"/>
      <c r="E6" s="43" t="s">
        <v>11</v>
      </c>
      <c r="F6" s="43" t="s">
        <v>11</v>
      </c>
      <c r="G6" s="43" t="s">
        <v>12</v>
      </c>
      <c r="H6" s="43" t="s">
        <v>12</v>
      </c>
      <c r="I6" s="43" t="s">
        <v>11</v>
      </c>
      <c r="J6" s="43" t="s">
        <v>13</v>
      </c>
      <c r="K6" s="43" t="s">
        <v>14</v>
      </c>
      <c r="L6" s="43" t="s">
        <v>14</v>
      </c>
      <c r="M6" s="43" t="s">
        <v>15</v>
      </c>
      <c r="N6" s="43" t="s">
        <v>11</v>
      </c>
      <c r="O6" s="43"/>
      <c r="P6" s="44"/>
      <c r="Q6" s="167"/>
      <c r="R6" s="168"/>
      <c r="S6" s="169"/>
    </row>
    <row r="7" spans="1:19" x14ac:dyDescent="0.25">
      <c r="B7" s="161"/>
      <c r="C7" s="42"/>
      <c r="E7" s="1">
        <v>40</v>
      </c>
      <c r="F7" s="1">
        <v>70</v>
      </c>
      <c r="G7" s="2">
        <v>22</v>
      </c>
      <c r="H7" s="2">
        <v>13</v>
      </c>
      <c r="I7" s="1">
        <v>4</v>
      </c>
      <c r="J7" s="1">
        <v>280</v>
      </c>
      <c r="K7" s="1">
        <v>4200</v>
      </c>
      <c r="L7" s="1">
        <v>4200</v>
      </c>
      <c r="M7" s="3">
        <v>7</v>
      </c>
      <c r="N7" s="1">
        <v>10</v>
      </c>
      <c r="O7" s="43"/>
      <c r="P7" s="44"/>
      <c r="Q7" s="167"/>
      <c r="R7" s="168"/>
      <c r="S7" s="169"/>
    </row>
    <row r="8" spans="1:19" x14ac:dyDescent="0.25">
      <c r="B8" s="162"/>
      <c r="C8" s="45"/>
      <c r="E8" s="46"/>
      <c r="F8" s="46"/>
      <c r="G8" s="13">
        <f>G7/10</f>
        <v>2.2000000000000002</v>
      </c>
      <c r="H8" s="13">
        <f>H7/10</f>
        <v>1.3</v>
      </c>
      <c r="I8" s="46"/>
      <c r="J8" s="46"/>
      <c r="K8" s="46"/>
      <c r="L8" s="46"/>
      <c r="M8" s="46"/>
      <c r="N8" s="46"/>
      <c r="O8" s="46"/>
      <c r="P8" s="47"/>
      <c r="Q8" s="170"/>
      <c r="R8" s="171"/>
      <c r="S8" s="172"/>
    </row>
    <row r="9" spans="1:19" x14ac:dyDescent="0.25">
      <c r="B9" s="160">
        <v>1</v>
      </c>
      <c r="C9" s="39"/>
      <c r="D9" s="26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  <c r="Q9" s="39"/>
      <c r="R9" s="40"/>
      <c r="S9" s="41"/>
    </row>
    <row r="10" spans="1:19" x14ac:dyDescent="0.25">
      <c r="B10" s="161"/>
      <c r="C10" s="42"/>
      <c r="D10" s="27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16" t="s">
        <v>21</v>
      </c>
      <c r="R10" s="24">
        <f>(R14*2-G8)/G8</f>
        <v>1.0606060606060603</v>
      </c>
      <c r="S10" s="19" t="s">
        <v>20</v>
      </c>
    </row>
    <row r="11" spans="1:19" x14ac:dyDescent="0.25">
      <c r="B11" s="161"/>
      <c r="C11" s="42"/>
      <c r="D11" s="27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16"/>
      <c r="R11" s="17"/>
      <c r="S11" s="19"/>
    </row>
    <row r="12" spans="1:19" x14ac:dyDescent="0.25">
      <c r="B12" s="161"/>
      <c r="C12" s="42"/>
      <c r="D12" s="27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5" t="s">
        <v>33</v>
      </c>
      <c r="R12" s="20">
        <f>MIN(R13,R14)</f>
        <v>2.2666666666666666</v>
      </c>
      <c r="S12" s="44" t="s">
        <v>1</v>
      </c>
    </row>
    <row r="13" spans="1:19" x14ac:dyDescent="0.25">
      <c r="B13" s="161"/>
      <c r="C13" s="42"/>
      <c r="D13" s="2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5" t="s">
        <v>34</v>
      </c>
      <c r="R13" s="20">
        <f>I7+H8 + G8/2</f>
        <v>6.4</v>
      </c>
      <c r="S13" s="44" t="s">
        <v>11</v>
      </c>
    </row>
    <row r="14" spans="1:19" x14ac:dyDescent="0.25">
      <c r="B14" s="161"/>
      <c r="C14" s="42"/>
      <c r="D14" s="27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5" t="s">
        <v>73</v>
      </c>
      <c r="R14" s="20">
        <f>((E7-G8*M7-H8*2-I7*2)/(M7-1) + G8)/2</f>
        <v>2.2666666666666666</v>
      </c>
      <c r="S14" s="44" t="s">
        <v>1</v>
      </c>
    </row>
    <row r="15" spans="1:19" x14ac:dyDescent="0.25">
      <c r="B15" s="161"/>
      <c r="C15" s="42"/>
      <c r="D15" s="27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9" x14ac:dyDescent="0.25">
      <c r="B16" s="161"/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9" t="s">
        <v>61</v>
      </c>
      <c r="R16" s="6">
        <f>I7+H8</f>
        <v>5.3</v>
      </c>
      <c r="S16" s="44" t="s">
        <v>59</v>
      </c>
    </row>
    <row r="17" spans="2:19" x14ac:dyDescent="0.25">
      <c r="B17" s="161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9" t="s">
        <v>60</v>
      </c>
      <c r="R17" s="6">
        <f>(E7-G8*M7-H8*2-I7*2)/2/(M7-1)</f>
        <v>1.1666666666666663</v>
      </c>
      <c r="S17" s="44" t="s">
        <v>59</v>
      </c>
    </row>
    <row r="18" spans="2:19" x14ac:dyDescent="0.25">
      <c r="B18" s="161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5"/>
      <c r="R18" s="43" t="str">
        <f>IF(R17&lt;R16,"屬水平式劈裂","屬垂直式劈裂")</f>
        <v>屬水平式劈裂</v>
      </c>
      <c r="S18" s="44"/>
    </row>
    <row r="19" spans="2:19" x14ac:dyDescent="0.25">
      <c r="B19" s="161"/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2"/>
      <c r="R19" s="43"/>
      <c r="S19" s="44"/>
    </row>
    <row r="20" spans="2:19" x14ac:dyDescent="0.25">
      <c r="B20" s="162"/>
      <c r="C20" s="45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  <c r="Q20" s="45"/>
      <c r="R20" s="46"/>
      <c r="S20" s="47"/>
    </row>
    <row r="21" spans="2:19" x14ac:dyDescent="0.25">
      <c r="B21" s="160">
        <v>2</v>
      </c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39"/>
      <c r="R21" s="40"/>
      <c r="S21" s="41"/>
    </row>
    <row r="22" spans="2:19" x14ac:dyDescent="0.25">
      <c r="B22" s="16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  <c r="Q22" s="5" t="s">
        <v>22</v>
      </c>
      <c r="R22" s="43"/>
      <c r="S22" s="44"/>
    </row>
    <row r="23" spans="2:19" ht="21" x14ac:dyDescent="0.25">
      <c r="B23" s="16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5" t="s">
        <v>50</v>
      </c>
      <c r="R23" s="20">
        <f>2*PI()*H8^2/4</f>
        <v>2.6546457922833753</v>
      </c>
      <c r="S23" s="44" t="s">
        <v>24</v>
      </c>
    </row>
    <row r="24" spans="2:19" x14ac:dyDescent="0.25">
      <c r="B24" s="161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  <c r="Q24" s="5" t="s">
        <v>25</v>
      </c>
      <c r="R24" s="20">
        <f>R23*L7/105/N7/M7</f>
        <v>1.5169404527333576</v>
      </c>
      <c r="S24" s="44" t="s">
        <v>1</v>
      </c>
    </row>
    <row r="25" spans="2:19" x14ac:dyDescent="0.25">
      <c r="B25" s="161"/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  <c r="Q25" s="5"/>
      <c r="S25" s="44"/>
    </row>
    <row r="26" spans="2:19" x14ac:dyDescent="0.25">
      <c r="B26" s="161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  <c r="Q26" s="5" t="s">
        <v>23</v>
      </c>
      <c r="R26" s="14"/>
      <c r="S26" s="15"/>
    </row>
    <row r="27" spans="2:19" ht="21" x14ac:dyDescent="0.25">
      <c r="B27" s="161"/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4"/>
      <c r="Q27" s="5" t="s">
        <v>51</v>
      </c>
      <c r="R27" s="20">
        <f>PI()*H8^2/4</f>
        <v>1.3273228961416876</v>
      </c>
      <c r="S27" s="44" t="s">
        <v>24</v>
      </c>
    </row>
    <row r="28" spans="2:19" x14ac:dyDescent="0.25">
      <c r="B28" s="161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4"/>
      <c r="Q28" s="5" t="s">
        <v>35</v>
      </c>
      <c r="R28" s="20">
        <f>R27*L7/105/N7</f>
        <v>5.3092915845667514</v>
      </c>
      <c r="S28" s="44" t="s">
        <v>1</v>
      </c>
    </row>
    <row r="29" spans="2:19" x14ac:dyDescent="0.25">
      <c r="B29" s="161"/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4"/>
      <c r="Q29" s="5"/>
      <c r="R29" s="20"/>
      <c r="S29" s="15"/>
    </row>
    <row r="30" spans="2:19" x14ac:dyDescent="0.25">
      <c r="B30" s="161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16" t="str">
        <f>IF(R14&lt;R13,"水平式劈裂 Ktr =","垂直式劈裂 Ktr =")</f>
        <v>水平式劈裂 Ktr =</v>
      </c>
      <c r="R30" s="18">
        <f>IF(R14&lt;R13,2*PI()*H8^2/4*L7/105/N7/M7,PI()*H8^2/4*L7/105/N7)</f>
        <v>1.5169404527333576</v>
      </c>
      <c r="S30" s="19" t="s">
        <v>1</v>
      </c>
    </row>
    <row r="31" spans="2:19" x14ac:dyDescent="0.25">
      <c r="B31" s="161"/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5"/>
      <c r="R31" s="20"/>
      <c r="S31" s="44"/>
    </row>
    <row r="32" spans="2:19" ht="21.75" x14ac:dyDescent="0.25">
      <c r="B32" s="161"/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4"/>
      <c r="Q32" s="5" t="s">
        <v>54</v>
      </c>
      <c r="R32" s="6">
        <f>IF(G8/(R12+R30)&lt;0.4,0.4,G8/(R12+R30))</f>
        <v>0.58145571952218433</v>
      </c>
      <c r="S32" s="44"/>
    </row>
    <row r="33" spans="2:19" x14ac:dyDescent="0.25">
      <c r="B33" s="161"/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2"/>
      <c r="R33" s="43"/>
      <c r="S33" s="44"/>
    </row>
    <row r="34" spans="2:19" x14ac:dyDescent="0.25">
      <c r="B34" s="162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  <c r="Q34" s="45"/>
      <c r="R34" s="46"/>
      <c r="S34" s="47"/>
    </row>
    <row r="35" spans="2:19" x14ac:dyDescent="0.25">
      <c r="B35" s="160">
        <v>3</v>
      </c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1"/>
      <c r="Q35" s="39"/>
      <c r="R35" s="40"/>
      <c r="S35" s="41"/>
    </row>
    <row r="36" spans="2:19" x14ac:dyDescent="0.25">
      <c r="B36" s="161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4"/>
      <c r="R36" s="43"/>
      <c r="S36" s="44"/>
    </row>
    <row r="37" spans="2:19" ht="21" x14ac:dyDescent="0.25">
      <c r="B37" s="161"/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5" t="s">
        <v>75</v>
      </c>
      <c r="R37" s="20">
        <f>0.28*K7*G8/SQRT(J7)</f>
        <v>154.61477290349717</v>
      </c>
      <c r="S37" s="44" t="s">
        <v>1</v>
      </c>
    </row>
    <row r="38" spans="2:19" x14ac:dyDescent="0.25">
      <c r="B38" s="161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  <c r="Q38" s="5"/>
      <c r="R38" s="20"/>
      <c r="S38" s="44"/>
    </row>
    <row r="39" spans="2:19" x14ac:dyDescent="0.25">
      <c r="B39" s="16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4"/>
      <c r="Q39" s="5" t="s">
        <v>38</v>
      </c>
      <c r="R39" s="6">
        <f>R51*R55*R61*R66*R32</f>
        <v>0.75589243537883966</v>
      </c>
      <c r="S39" s="44"/>
    </row>
    <row r="40" spans="2:19" x14ac:dyDescent="0.25">
      <c r="B40" s="16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4"/>
      <c r="Q40" s="5" t="s">
        <v>41</v>
      </c>
      <c r="R40" s="6">
        <f>R52*R55*R61*R66*R32</f>
        <v>0.58145571952218433</v>
      </c>
      <c r="S40" s="44"/>
    </row>
    <row r="41" spans="2:19" x14ac:dyDescent="0.25">
      <c r="B41" s="16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4"/>
      <c r="Q41" s="5"/>
      <c r="S41" s="169"/>
    </row>
    <row r="42" spans="2:19" x14ac:dyDescent="0.25">
      <c r="B42" s="161"/>
      <c r="C42" s="4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5"/>
      <c r="R42" s="14"/>
      <c r="S42" s="169"/>
    </row>
    <row r="43" spans="2:19" x14ac:dyDescent="0.25">
      <c r="B43" s="161"/>
      <c r="C43" s="42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4"/>
      <c r="Q43" s="5" t="s">
        <v>55</v>
      </c>
      <c r="R43" s="20">
        <f>R37*R39</f>
        <v>116.8721372355707</v>
      </c>
      <c r="S43" s="44" t="s">
        <v>1</v>
      </c>
    </row>
    <row r="44" spans="2:19" x14ac:dyDescent="0.25">
      <c r="B44" s="161"/>
      <c r="C44" s="42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4"/>
      <c r="Q44" s="5" t="s">
        <v>56</v>
      </c>
      <c r="R44" s="20">
        <f>R37*R40</f>
        <v>89.901644027362082</v>
      </c>
      <c r="S44" s="44" t="s">
        <v>1</v>
      </c>
    </row>
    <row r="45" spans="2:19" x14ac:dyDescent="0.25">
      <c r="B45" s="161"/>
      <c r="C45" s="42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Q45" s="42"/>
      <c r="R45" s="43"/>
      <c r="S45" s="44"/>
    </row>
    <row r="46" spans="2:19" x14ac:dyDescent="0.25">
      <c r="B46" s="161"/>
      <c r="C46" s="42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2"/>
      <c r="R46" s="43"/>
      <c r="S46" s="44"/>
    </row>
    <row r="47" spans="2:19" ht="37.5" x14ac:dyDescent="0.25">
      <c r="B47" s="161"/>
      <c r="C47" s="42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7" t="s">
        <v>17</v>
      </c>
      <c r="R47" s="43"/>
      <c r="S47" s="44"/>
    </row>
    <row r="48" spans="2:19" x14ac:dyDescent="0.25">
      <c r="B48" s="161"/>
      <c r="C48" s="42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8"/>
      <c r="R48" s="43"/>
      <c r="S48" s="44"/>
    </row>
    <row r="49" spans="2:19" x14ac:dyDescent="0.25">
      <c r="B49" s="161"/>
      <c r="C49" s="42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8"/>
      <c r="R49" s="43"/>
      <c r="S49" s="44"/>
    </row>
    <row r="50" spans="2:19" x14ac:dyDescent="0.25">
      <c r="B50" s="161"/>
      <c r="C50" s="42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8" t="s">
        <v>37</v>
      </c>
      <c r="S50" s="44"/>
    </row>
    <row r="51" spans="2:19" x14ac:dyDescent="0.25">
      <c r="B51" s="161"/>
      <c r="C51" s="42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4"/>
      <c r="Q51" s="23" t="s">
        <v>39</v>
      </c>
      <c r="R51" s="22">
        <v>1.3</v>
      </c>
      <c r="S51" s="44"/>
    </row>
    <row r="52" spans="2:19" x14ac:dyDescent="0.25">
      <c r="B52" s="161"/>
      <c r="C52" s="42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4"/>
      <c r="Q52" s="23" t="s">
        <v>40</v>
      </c>
      <c r="R52" s="21">
        <v>1</v>
      </c>
      <c r="S52" s="44"/>
    </row>
    <row r="53" spans="2:19" x14ac:dyDescent="0.25">
      <c r="B53" s="161"/>
      <c r="C53" s="42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8"/>
      <c r="R53" s="43"/>
      <c r="S53" s="44"/>
    </row>
    <row r="54" spans="2:19" x14ac:dyDescent="0.25">
      <c r="B54" s="161"/>
      <c r="C54" s="42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8"/>
      <c r="R54" s="43"/>
      <c r="S54" s="44"/>
    </row>
    <row r="55" spans="2:19" x14ac:dyDescent="0.25">
      <c r="B55" s="161"/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8" t="s">
        <v>18</v>
      </c>
      <c r="R55" s="21">
        <v>1</v>
      </c>
      <c r="S55" s="44"/>
    </row>
    <row r="56" spans="2:19" x14ac:dyDescent="0.25">
      <c r="B56" s="16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8"/>
      <c r="R56" s="22"/>
      <c r="S56" s="44"/>
    </row>
    <row r="57" spans="2:19" x14ac:dyDescent="0.25">
      <c r="B57" s="161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4"/>
      <c r="Q57" s="8"/>
      <c r="R57" s="22"/>
      <c r="S57" s="44"/>
    </row>
    <row r="58" spans="2:19" x14ac:dyDescent="0.25">
      <c r="B58" s="161"/>
      <c r="C58" s="42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4"/>
      <c r="Q58" s="8"/>
      <c r="R58" s="22"/>
      <c r="S58" s="44"/>
    </row>
    <row r="59" spans="2:19" x14ac:dyDescent="0.25">
      <c r="B59" s="16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8"/>
      <c r="R59" s="22"/>
      <c r="S59" s="44"/>
    </row>
    <row r="60" spans="2:19" x14ac:dyDescent="0.25">
      <c r="B60" s="161"/>
      <c r="C60" s="42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4"/>
      <c r="Q60" s="8"/>
      <c r="R60" s="22"/>
      <c r="S60" s="44"/>
    </row>
    <row r="61" spans="2:19" x14ac:dyDescent="0.25">
      <c r="B61" s="161"/>
      <c r="C61" s="42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4"/>
      <c r="Q61" s="8" t="str">
        <f>IF(G8&gt;2.2,"(3) D22或較大之鋼筋       ==&gt; ψs = 1.0","(3) D19或較小之鋼筋及麻面鋼線       ==&gt; ψs = 0.8")</f>
        <v>(3) D19或較小之鋼筋及麻面鋼線       ==&gt; ψs = 0.8</v>
      </c>
      <c r="R61" s="21">
        <f>IF(G8&gt;2,1,0.8)</f>
        <v>1</v>
      </c>
      <c r="S61" s="44"/>
    </row>
    <row r="62" spans="2:19" x14ac:dyDescent="0.25">
      <c r="B62" s="161"/>
      <c r="C62" s="42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8"/>
      <c r="R62" s="22"/>
      <c r="S62" s="44"/>
    </row>
    <row r="63" spans="2:19" x14ac:dyDescent="0.25">
      <c r="B63" s="161"/>
      <c r="C63" s="42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4"/>
      <c r="Q63" s="8"/>
      <c r="R63" s="22"/>
      <c r="S63" s="44"/>
    </row>
    <row r="64" spans="2:19" x14ac:dyDescent="0.25">
      <c r="B64" s="161"/>
      <c r="C64" s="42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4"/>
      <c r="Q64" s="8"/>
      <c r="R64" s="22"/>
      <c r="S64" s="44"/>
    </row>
    <row r="65" spans="2:20" x14ac:dyDescent="0.25">
      <c r="B65" s="161"/>
      <c r="C65" s="42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4"/>
      <c r="Q65" s="8"/>
      <c r="R65" s="22"/>
      <c r="S65" s="44"/>
    </row>
    <row r="66" spans="2:20" x14ac:dyDescent="0.25">
      <c r="B66" s="161"/>
      <c r="C66" s="42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4"/>
      <c r="Q66" s="8" t="s">
        <v>36</v>
      </c>
      <c r="R66" s="21">
        <v>1</v>
      </c>
      <c r="S66" s="44"/>
    </row>
    <row r="67" spans="2:20" x14ac:dyDescent="0.25">
      <c r="B67" s="161"/>
      <c r="C67" s="42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S67" s="44"/>
    </row>
    <row r="68" spans="2:20" x14ac:dyDescent="0.25">
      <c r="B68" s="161"/>
      <c r="C68" s="42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4"/>
    </row>
    <row r="69" spans="2:20" x14ac:dyDescent="0.25">
      <c r="B69" s="161"/>
      <c r="C69" s="42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4"/>
      <c r="Q69" s="42"/>
      <c r="R69" s="43"/>
      <c r="S69" s="44"/>
    </row>
    <row r="70" spans="2:20" x14ac:dyDescent="0.25">
      <c r="B70" s="161"/>
      <c r="C70" s="42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Q70" s="42"/>
      <c r="R70" s="43"/>
      <c r="S70" s="44"/>
    </row>
    <row r="71" spans="2:20" x14ac:dyDescent="0.25">
      <c r="B71" s="162"/>
      <c r="C71" s="45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7"/>
      <c r="Q71" s="45"/>
      <c r="R71" s="46"/>
      <c r="S71" s="47"/>
    </row>
    <row r="72" spans="2:20" x14ac:dyDescent="0.25">
      <c r="B72" s="160">
        <v>4</v>
      </c>
      <c r="C72" s="42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39"/>
      <c r="R72" s="40"/>
      <c r="S72" s="41"/>
    </row>
    <row r="73" spans="2:20" x14ac:dyDescent="0.25">
      <c r="B73" s="16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5"/>
      <c r="R73" s="43"/>
      <c r="S73" s="44"/>
    </row>
    <row r="74" spans="2:20" x14ac:dyDescent="0.25">
      <c r="B74" s="161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9" t="s">
        <v>57</v>
      </c>
      <c r="R74" s="10">
        <f>ROUNDUP(MAX(R43*1.3,30),0)</f>
        <v>152</v>
      </c>
      <c r="S74" s="44" t="s">
        <v>1</v>
      </c>
    </row>
    <row r="75" spans="2:20" x14ac:dyDescent="0.25">
      <c r="B75" s="161"/>
      <c r="C75" s="42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5" t="s">
        <v>58</v>
      </c>
      <c r="R75" s="10">
        <f>ROUNDUP(MAX(R44*1.3,30),0)</f>
        <v>117</v>
      </c>
      <c r="S75" s="44" t="s">
        <v>1</v>
      </c>
    </row>
    <row r="76" spans="2:20" x14ac:dyDescent="0.25">
      <c r="B76" s="161"/>
      <c r="C76" s="42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4"/>
      <c r="Q76" s="5"/>
      <c r="R76" s="43"/>
      <c r="S76" s="44"/>
    </row>
    <row r="77" spans="2:20" x14ac:dyDescent="0.25">
      <c r="B77" s="16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4"/>
      <c r="Q77" s="5"/>
      <c r="R77" s="43"/>
      <c r="S77" s="44"/>
    </row>
    <row r="78" spans="2:20" x14ac:dyDescent="0.25">
      <c r="B78" s="16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2"/>
      <c r="R78" s="43"/>
      <c r="S78" s="44"/>
    </row>
    <row r="79" spans="2:20" x14ac:dyDescent="0.25">
      <c r="B79" s="161"/>
      <c r="C79" s="42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2"/>
      <c r="R79" s="43"/>
      <c r="S79" s="44"/>
      <c r="T79" s="43"/>
    </row>
    <row r="80" spans="2:20" x14ac:dyDescent="0.25">
      <c r="B80" s="161"/>
      <c r="C80" s="42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2"/>
      <c r="R80" s="43"/>
      <c r="S80" s="44"/>
      <c r="T80" s="43"/>
    </row>
    <row r="81" spans="2:20" x14ac:dyDescent="0.25">
      <c r="B81" s="161"/>
      <c r="C81" s="42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2"/>
      <c r="R81" s="43"/>
      <c r="S81" s="44"/>
      <c r="T81" s="43"/>
    </row>
    <row r="82" spans="2:20" x14ac:dyDescent="0.25">
      <c r="B82" s="161"/>
      <c r="C82" s="42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4"/>
      <c r="Q82" s="42"/>
      <c r="R82" s="43"/>
      <c r="S82" s="44"/>
      <c r="T82" s="43"/>
    </row>
    <row r="83" spans="2:20" x14ac:dyDescent="0.25">
      <c r="B83" s="161"/>
      <c r="C83" s="42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4"/>
      <c r="Q83" s="42"/>
      <c r="R83" s="43"/>
      <c r="S83" s="44"/>
      <c r="T83" s="43"/>
    </row>
    <row r="84" spans="2:20" x14ac:dyDescent="0.25">
      <c r="B84" s="161"/>
      <c r="C84" s="42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2"/>
      <c r="R84" s="43"/>
      <c r="S84" s="44"/>
      <c r="T84" s="43"/>
    </row>
    <row r="85" spans="2:20" x14ac:dyDescent="0.25">
      <c r="B85" s="161"/>
      <c r="C85" s="42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4"/>
      <c r="Q85" s="42"/>
      <c r="R85" s="43"/>
      <c r="S85" s="44"/>
      <c r="T85" s="43"/>
    </row>
    <row r="86" spans="2:20" x14ac:dyDescent="0.25">
      <c r="B86" s="161"/>
      <c r="C86" s="42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4"/>
      <c r="Q86" s="42"/>
      <c r="R86" s="43"/>
      <c r="S86" s="44"/>
      <c r="T86" s="43"/>
    </row>
    <row r="87" spans="2:20" x14ac:dyDescent="0.25">
      <c r="B87" s="161"/>
      <c r="C87" s="42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2"/>
      <c r="R87" s="43"/>
      <c r="S87" s="44"/>
      <c r="T87" s="43"/>
    </row>
    <row r="88" spans="2:20" x14ac:dyDescent="0.25">
      <c r="B88" s="161"/>
      <c r="C88" s="42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4"/>
      <c r="Q88" s="42"/>
      <c r="R88" s="43"/>
      <c r="S88" s="44"/>
      <c r="T88" s="43"/>
    </row>
    <row r="89" spans="2:20" x14ac:dyDescent="0.25">
      <c r="B89" s="162"/>
      <c r="C89" s="45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7"/>
      <c r="Q89" s="45"/>
      <c r="R89" s="46"/>
      <c r="S89" s="47"/>
    </row>
  </sheetData>
  <mergeCells count="8">
    <mergeCell ref="B72:B89"/>
    <mergeCell ref="B4:B8"/>
    <mergeCell ref="E4:N4"/>
    <mergeCell ref="Q4:S8"/>
    <mergeCell ref="B9:B20"/>
    <mergeCell ref="B21:B34"/>
    <mergeCell ref="B35:B71"/>
    <mergeCell ref="S41:S42"/>
  </mergeCells>
  <phoneticPr fontId="1" type="noConversion"/>
  <pageMargins left="0.11811023622047245" right="0.70866141732283472" top="0.74803149606299213" bottom="0.74803149606299213" header="0.31496062992125984" footer="0.31496062992125984"/>
  <pageSetup paperSize="8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1">
    <tabColor rgb="FFFFC000"/>
    <pageSetUpPr fitToPage="1"/>
  </sheetPr>
  <dimension ref="A1:T89"/>
  <sheetViews>
    <sheetView topLeftCell="O1" zoomScale="75" zoomScaleNormal="75" workbookViewId="0">
      <selection activeCell="R30" sqref="R30"/>
    </sheetView>
  </sheetViews>
  <sheetFormatPr defaultColWidth="9" defaultRowHeight="18.75" x14ac:dyDescent="0.25"/>
  <cols>
    <col min="1" max="1" width="10.125" style="113" customWidth="1"/>
    <col min="2" max="2" width="14.125" style="113" bestFit="1" customWidth="1"/>
    <col min="3" max="3" width="9" style="113" customWidth="1"/>
    <col min="4" max="5" width="5.875" style="113" bestFit="1" customWidth="1"/>
    <col min="6" max="6" width="10" style="113" bestFit="1" customWidth="1"/>
    <col min="7" max="7" width="11.375" style="113" customWidth="1"/>
    <col min="8" max="8" width="9" style="113" customWidth="1"/>
    <col min="9" max="9" width="10.625" style="113" bestFit="1" customWidth="1"/>
    <col min="10" max="11" width="10.125" style="113" bestFit="1" customWidth="1"/>
    <col min="12" max="12" width="10" style="113" bestFit="1" customWidth="1"/>
    <col min="13" max="13" width="11.625" style="113" bestFit="1" customWidth="1"/>
    <col min="14" max="15" width="9" style="113" customWidth="1"/>
    <col min="16" max="16" width="4.125" style="113" customWidth="1"/>
    <col min="17" max="17" width="122" style="113" bestFit="1" customWidth="1"/>
    <col min="18" max="18" width="12" style="113" bestFit="1" customWidth="1"/>
    <col min="19" max="19" width="7.625" style="113" customWidth="1"/>
    <col min="20" max="16384" width="9" style="113"/>
  </cols>
  <sheetData>
    <row r="1" spans="1:19" x14ac:dyDescent="0.25">
      <c r="A1" s="112"/>
      <c r="B1" s="112"/>
    </row>
    <row r="2" spans="1:19" x14ac:dyDescent="0.25">
      <c r="A2" s="112"/>
      <c r="B2" s="112" t="s">
        <v>45</v>
      </c>
    </row>
    <row r="4" spans="1:19" ht="17.25" customHeight="1" thickBot="1" x14ac:dyDescent="0.3">
      <c r="B4" s="173"/>
      <c r="C4" s="114"/>
      <c r="D4" s="115"/>
      <c r="E4" s="176" t="s">
        <v>43</v>
      </c>
      <c r="F4" s="176"/>
      <c r="G4" s="176"/>
      <c r="H4" s="176"/>
      <c r="I4" s="176"/>
      <c r="J4" s="176"/>
      <c r="K4" s="176"/>
      <c r="L4" s="176"/>
      <c r="M4" s="176"/>
      <c r="N4" s="176"/>
      <c r="O4" s="115"/>
      <c r="P4" s="116"/>
      <c r="Q4" s="177" t="s">
        <v>16</v>
      </c>
      <c r="R4" s="178"/>
      <c r="S4" s="179"/>
    </row>
    <row r="5" spans="1:19" ht="19.5" thickTop="1" x14ac:dyDescent="0.25">
      <c r="B5" s="174"/>
      <c r="C5" s="117"/>
      <c r="E5" s="118" t="s">
        <v>2</v>
      </c>
      <c r="F5" s="118" t="s">
        <v>0</v>
      </c>
      <c r="G5" s="118" t="s">
        <v>3</v>
      </c>
      <c r="H5" s="118" t="s">
        <v>4</v>
      </c>
      <c r="I5" s="118" t="s">
        <v>5</v>
      </c>
      <c r="J5" s="118" t="s">
        <v>6</v>
      </c>
      <c r="K5" s="118" t="s">
        <v>7</v>
      </c>
      <c r="L5" s="118" t="s">
        <v>8</v>
      </c>
      <c r="M5" s="118" t="s">
        <v>9</v>
      </c>
      <c r="N5" s="118" t="s">
        <v>10</v>
      </c>
      <c r="O5" s="118"/>
      <c r="P5" s="119"/>
      <c r="Q5" s="180"/>
      <c r="R5" s="181"/>
      <c r="S5" s="182"/>
    </row>
    <row r="6" spans="1:19" x14ac:dyDescent="0.25">
      <c r="B6" s="174"/>
      <c r="C6" s="117"/>
      <c r="E6" s="118" t="s">
        <v>11</v>
      </c>
      <c r="F6" s="118" t="s">
        <v>11</v>
      </c>
      <c r="G6" s="118" t="s">
        <v>12</v>
      </c>
      <c r="H6" s="118" t="s">
        <v>12</v>
      </c>
      <c r="I6" s="118" t="s">
        <v>11</v>
      </c>
      <c r="J6" s="118" t="s">
        <v>13</v>
      </c>
      <c r="K6" s="118" t="s">
        <v>14</v>
      </c>
      <c r="L6" s="118" t="s">
        <v>14</v>
      </c>
      <c r="M6" s="118" t="s">
        <v>15</v>
      </c>
      <c r="N6" s="118" t="s">
        <v>11</v>
      </c>
      <c r="O6" s="118"/>
      <c r="P6" s="119"/>
      <c r="Q6" s="180"/>
      <c r="R6" s="181"/>
      <c r="S6" s="182"/>
    </row>
    <row r="7" spans="1:19" x14ac:dyDescent="0.25">
      <c r="B7" s="174"/>
      <c r="C7" s="117"/>
      <c r="E7" s="120">
        <v>40</v>
      </c>
      <c r="F7" s="120">
        <v>70</v>
      </c>
      <c r="G7" s="121">
        <v>19</v>
      </c>
      <c r="H7" s="121">
        <v>19</v>
      </c>
      <c r="I7" s="120">
        <v>2</v>
      </c>
      <c r="J7" s="120">
        <v>350</v>
      </c>
      <c r="K7" s="120">
        <v>4200</v>
      </c>
      <c r="L7" s="120">
        <v>4200</v>
      </c>
      <c r="M7" s="122">
        <v>7</v>
      </c>
      <c r="N7" s="120">
        <v>15</v>
      </c>
      <c r="O7" s="122"/>
      <c r="P7" s="120"/>
      <c r="Q7" s="180"/>
      <c r="R7" s="181"/>
      <c r="S7" s="182"/>
    </row>
    <row r="8" spans="1:19" x14ac:dyDescent="0.25">
      <c r="B8" s="175"/>
      <c r="C8" s="123"/>
      <c r="E8" s="124"/>
      <c r="F8" s="124"/>
      <c r="G8" s="125">
        <f>G7/10</f>
        <v>1.9</v>
      </c>
      <c r="H8" s="125">
        <f>H7/10</f>
        <v>1.9</v>
      </c>
      <c r="I8" s="124"/>
      <c r="J8" s="124"/>
      <c r="K8" s="124"/>
      <c r="L8" s="124"/>
      <c r="M8" s="124"/>
      <c r="N8" s="124"/>
      <c r="O8" s="124"/>
      <c r="P8" s="126"/>
      <c r="Q8" s="183"/>
      <c r="R8" s="184"/>
      <c r="S8" s="185"/>
    </row>
    <row r="9" spans="1:19" x14ac:dyDescent="0.25">
      <c r="B9" s="173">
        <v>1</v>
      </c>
      <c r="C9" s="127"/>
      <c r="D9" s="128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30"/>
      <c r="Q9" s="127"/>
      <c r="R9" s="129"/>
      <c r="S9" s="130"/>
    </row>
    <row r="10" spans="1:19" x14ac:dyDescent="0.25">
      <c r="B10" s="174"/>
      <c r="C10" s="117"/>
      <c r="D10" s="13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9"/>
      <c r="Q10" s="132" t="s">
        <v>21</v>
      </c>
      <c r="R10" s="133">
        <f>(R14*2-G8)/G8</f>
        <v>1.6578947368421058</v>
      </c>
      <c r="S10" s="134" t="s">
        <v>20</v>
      </c>
    </row>
    <row r="11" spans="1:19" x14ac:dyDescent="0.25">
      <c r="B11" s="174"/>
      <c r="C11" s="117"/>
      <c r="D11" s="13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9"/>
      <c r="Q11" s="132"/>
      <c r="R11" s="135"/>
      <c r="S11" s="134"/>
    </row>
    <row r="12" spans="1:19" x14ac:dyDescent="0.25">
      <c r="B12" s="174"/>
      <c r="C12" s="117"/>
      <c r="D12" s="131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9"/>
      <c r="Q12" s="136" t="s">
        <v>33</v>
      </c>
      <c r="R12" s="137">
        <f>MIN(R13,R14)</f>
        <v>2.5250000000000004</v>
      </c>
      <c r="S12" s="119" t="s">
        <v>1</v>
      </c>
    </row>
    <row r="13" spans="1:19" x14ac:dyDescent="0.25">
      <c r="B13" s="174"/>
      <c r="C13" s="117"/>
      <c r="D13" s="131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9"/>
      <c r="Q13" s="136" t="s">
        <v>34</v>
      </c>
      <c r="R13" s="137">
        <f>I7+H8 + G8/2</f>
        <v>4.8499999999999996</v>
      </c>
      <c r="S13" s="119" t="s">
        <v>11</v>
      </c>
    </row>
    <row r="14" spans="1:19" x14ac:dyDescent="0.25">
      <c r="B14" s="174"/>
      <c r="C14" s="117"/>
      <c r="D14" s="131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9"/>
      <c r="Q14" s="5" t="s">
        <v>73</v>
      </c>
      <c r="R14" s="20">
        <f>((E7-G8*M7-H8*2-I7*2)/(M7-1) + G8)/2</f>
        <v>2.5250000000000004</v>
      </c>
      <c r="S14" s="119" t="s">
        <v>1</v>
      </c>
    </row>
    <row r="15" spans="1:19" x14ac:dyDescent="0.25">
      <c r="B15" s="174"/>
      <c r="C15" s="117"/>
      <c r="D15" s="131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</row>
    <row r="16" spans="1:19" x14ac:dyDescent="0.25">
      <c r="B16" s="174"/>
      <c r="C16" s="117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Q16" s="138" t="s">
        <v>61</v>
      </c>
      <c r="R16" s="139">
        <f>I7+H8</f>
        <v>3.9</v>
      </c>
      <c r="S16" s="119" t="s">
        <v>59</v>
      </c>
    </row>
    <row r="17" spans="2:19" x14ac:dyDescent="0.25">
      <c r="B17" s="174"/>
      <c r="C17" s="117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Q17" s="138" t="s">
        <v>60</v>
      </c>
      <c r="R17" s="139">
        <f>(E7-G8*M7-H8*2-I7*2)/2/(M7-1)</f>
        <v>1.5750000000000002</v>
      </c>
      <c r="S17" s="119" t="s">
        <v>59</v>
      </c>
    </row>
    <row r="18" spans="2:19" x14ac:dyDescent="0.25">
      <c r="B18" s="174"/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9"/>
      <c r="Q18" s="136"/>
      <c r="R18" s="118" t="str">
        <f>IF(R17&lt;R16,"屬水平式劈裂","屬垂直式劈裂")</f>
        <v>屬水平式劈裂</v>
      </c>
      <c r="S18" s="119"/>
    </row>
    <row r="19" spans="2:19" x14ac:dyDescent="0.25">
      <c r="B19" s="174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9"/>
      <c r="Q19" s="117"/>
      <c r="R19" s="118"/>
      <c r="S19" s="119"/>
    </row>
    <row r="20" spans="2:19" x14ac:dyDescent="0.25">
      <c r="B20" s="175"/>
      <c r="C20" s="123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6"/>
      <c r="Q20" s="123"/>
      <c r="R20" s="124"/>
      <c r="S20" s="126"/>
    </row>
    <row r="21" spans="2:19" x14ac:dyDescent="0.25">
      <c r="B21" s="173">
        <v>2</v>
      </c>
      <c r="C21" s="127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30"/>
      <c r="Q21" s="127"/>
      <c r="R21" s="129"/>
      <c r="S21" s="130"/>
    </row>
    <row r="22" spans="2:19" x14ac:dyDescent="0.25">
      <c r="B22" s="174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9"/>
      <c r="Q22" s="136" t="s">
        <v>22</v>
      </c>
      <c r="R22" s="118"/>
      <c r="S22" s="119"/>
    </row>
    <row r="23" spans="2:19" ht="19.5" x14ac:dyDescent="0.25">
      <c r="B23" s="174"/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Q23" s="136" t="s">
        <v>67</v>
      </c>
      <c r="R23" s="137">
        <f>2*PI()*H8^2/4</f>
        <v>5.6705747397295765</v>
      </c>
      <c r="S23" s="119" t="s">
        <v>68</v>
      </c>
    </row>
    <row r="24" spans="2:19" x14ac:dyDescent="0.25">
      <c r="B24" s="174"/>
      <c r="C24" s="117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9"/>
      <c r="Q24" s="136" t="s">
        <v>25</v>
      </c>
      <c r="R24" s="137">
        <f>R23*L7/105/N7/M7</f>
        <v>2.1602189484684104</v>
      </c>
      <c r="S24" s="119" t="s">
        <v>1</v>
      </c>
    </row>
    <row r="25" spans="2:19" x14ac:dyDescent="0.25">
      <c r="B25" s="174"/>
      <c r="C25" s="117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9"/>
      <c r="Q25" s="136"/>
      <c r="S25" s="119"/>
    </row>
    <row r="26" spans="2:19" x14ac:dyDescent="0.25">
      <c r="B26" s="174"/>
      <c r="C26" s="117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9"/>
      <c r="Q26" s="136" t="s">
        <v>23</v>
      </c>
      <c r="R26" s="140"/>
      <c r="S26" s="141"/>
    </row>
    <row r="27" spans="2:19" ht="19.5" x14ac:dyDescent="0.25">
      <c r="B27" s="174"/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9"/>
      <c r="Q27" s="136" t="s">
        <v>69</v>
      </c>
      <c r="R27" s="137">
        <f>PI()*H8^2/4</f>
        <v>2.8352873698647882</v>
      </c>
      <c r="S27" s="119" t="s">
        <v>68</v>
      </c>
    </row>
    <row r="28" spans="2:19" x14ac:dyDescent="0.25">
      <c r="B28" s="174"/>
      <c r="C28" s="117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9"/>
      <c r="Q28" s="136" t="s">
        <v>35</v>
      </c>
      <c r="R28" s="137">
        <f>R27*L7/105/N7</f>
        <v>7.5607663196394359</v>
      </c>
      <c r="S28" s="119" t="s">
        <v>1</v>
      </c>
    </row>
    <row r="29" spans="2:19" x14ac:dyDescent="0.25">
      <c r="B29" s="174"/>
      <c r="C29" s="117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9"/>
      <c r="Q29" s="136"/>
      <c r="R29" s="137"/>
      <c r="S29" s="141"/>
    </row>
    <row r="30" spans="2:19" x14ac:dyDescent="0.25">
      <c r="B30" s="174"/>
      <c r="C30" s="117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9"/>
      <c r="Q30" s="132" t="str">
        <f>IF(R14&lt;R13,"水平式劈裂 Ktr =","垂直式劈裂 Ktr =")</f>
        <v>水平式劈裂 Ktr =</v>
      </c>
      <c r="R30" s="142">
        <f>IF(R14&lt;R13,2*PI()*H8^2/4*L7/105/N7/M7,PI()*H8^2/4*L7/105/N7)</f>
        <v>2.1602189484684104</v>
      </c>
      <c r="S30" s="134" t="s">
        <v>1</v>
      </c>
    </row>
    <row r="31" spans="2:19" x14ac:dyDescent="0.25">
      <c r="B31" s="174"/>
      <c r="C31" s="117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9"/>
      <c r="Q31" s="136"/>
      <c r="R31" s="137"/>
      <c r="S31" s="119"/>
    </row>
    <row r="32" spans="2:19" ht="19.5" x14ac:dyDescent="0.25">
      <c r="B32" s="174"/>
      <c r="C32" s="117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9"/>
      <c r="Q32" s="136" t="s">
        <v>70</v>
      </c>
      <c r="R32" s="139">
        <f>IF(G8/(R12+R30)&lt;0.4,0.4,G8/(R12+R30))</f>
        <v>0.40553067442474733</v>
      </c>
      <c r="S32" s="119"/>
    </row>
    <row r="33" spans="2:19" x14ac:dyDescent="0.25">
      <c r="B33" s="174"/>
      <c r="C33" s="117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9"/>
      <c r="Q33" s="117"/>
      <c r="R33" s="118"/>
      <c r="S33" s="119"/>
    </row>
    <row r="34" spans="2:19" x14ac:dyDescent="0.25">
      <c r="B34" s="175"/>
      <c r="C34" s="123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6"/>
      <c r="Q34" s="123"/>
      <c r="R34" s="124"/>
      <c r="S34" s="126"/>
    </row>
    <row r="35" spans="2:19" x14ac:dyDescent="0.25">
      <c r="B35" s="173">
        <v>3</v>
      </c>
      <c r="C35" s="127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30"/>
      <c r="Q35" s="127"/>
      <c r="R35" s="129"/>
      <c r="S35" s="130"/>
    </row>
    <row r="36" spans="2:19" x14ac:dyDescent="0.25">
      <c r="B36" s="174"/>
      <c r="C36" s="117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9"/>
      <c r="R36" s="118"/>
      <c r="S36" s="119"/>
    </row>
    <row r="37" spans="2:19" ht="19.5" x14ac:dyDescent="0.25">
      <c r="B37" s="174"/>
      <c r="C37" s="117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9"/>
      <c r="Q37" s="5" t="s">
        <v>76</v>
      </c>
      <c r="R37" s="137">
        <f>0.28*K7*G8/SQRT(J7)</f>
        <v>119.43370378582421</v>
      </c>
      <c r="S37" s="119" t="s">
        <v>1</v>
      </c>
    </row>
    <row r="38" spans="2:19" x14ac:dyDescent="0.25">
      <c r="B38" s="174"/>
      <c r="C38" s="117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  <c r="Q38" s="136"/>
      <c r="R38" s="137"/>
      <c r="S38" s="119"/>
    </row>
    <row r="39" spans="2:19" x14ac:dyDescent="0.25">
      <c r="B39" s="174"/>
      <c r="C39" s="117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9"/>
      <c r="Q39" s="136" t="s">
        <v>38</v>
      </c>
      <c r="R39" s="139">
        <f>R51*R55*R61*R66*R32</f>
        <v>0.42175190140173724</v>
      </c>
      <c r="S39" s="119"/>
    </row>
    <row r="40" spans="2:19" x14ac:dyDescent="0.25">
      <c r="B40" s="174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9"/>
      <c r="Q40" s="136" t="s">
        <v>41</v>
      </c>
      <c r="R40" s="139">
        <f>R52*R55*R61*R66*R32</f>
        <v>0.32442453953979788</v>
      </c>
      <c r="S40" s="119"/>
    </row>
    <row r="41" spans="2:19" x14ac:dyDescent="0.25">
      <c r="B41" s="174"/>
      <c r="C41" s="117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36"/>
      <c r="S41" s="182"/>
    </row>
    <row r="42" spans="2:19" x14ac:dyDescent="0.25">
      <c r="B42" s="174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9"/>
      <c r="Q42" s="136"/>
      <c r="R42" s="140"/>
      <c r="S42" s="182"/>
    </row>
    <row r="43" spans="2:19" x14ac:dyDescent="0.25">
      <c r="B43" s="174"/>
      <c r="C43" s="117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9"/>
      <c r="Q43" s="136" t="s">
        <v>55</v>
      </c>
      <c r="R43" s="137">
        <f>R37*R39</f>
        <v>50.371391663123219</v>
      </c>
      <c r="S43" s="119" t="s">
        <v>1</v>
      </c>
    </row>
    <row r="44" spans="2:19" x14ac:dyDescent="0.25">
      <c r="B44" s="174"/>
      <c r="C44" s="117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  <c r="Q44" s="136" t="s">
        <v>56</v>
      </c>
      <c r="R44" s="137">
        <f>R37*R40</f>
        <v>38.747224356248637</v>
      </c>
      <c r="S44" s="119" t="s">
        <v>1</v>
      </c>
    </row>
    <row r="45" spans="2:19" x14ac:dyDescent="0.25">
      <c r="B45" s="174"/>
      <c r="C45" s="117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/>
      <c r="Q45" s="117"/>
      <c r="R45" s="118"/>
      <c r="S45" s="119"/>
    </row>
    <row r="46" spans="2:19" x14ac:dyDescent="0.25">
      <c r="B46" s="174"/>
      <c r="C46" s="117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9"/>
      <c r="Q46" s="117"/>
      <c r="R46" s="118"/>
      <c r="S46" s="119"/>
    </row>
    <row r="47" spans="2:19" ht="37.5" x14ac:dyDescent="0.25">
      <c r="B47" s="174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  <c r="Q47" s="143" t="s">
        <v>17</v>
      </c>
      <c r="R47" s="118"/>
      <c r="S47" s="119"/>
    </row>
    <row r="48" spans="2:19" x14ac:dyDescent="0.25">
      <c r="B48" s="174"/>
      <c r="C48" s="117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9"/>
      <c r="Q48" s="144"/>
      <c r="R48" s="118"/>
      <c r="S48" s="119"/>
    </row>
    <row r="49" spans="2:19" x14ac:dyDescent="0.25">
      <c r="B49" s="174"/>
      <c r="C49" s="117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9"/>
      <c r="Q49" s="144"/>
      <c r="R49" s="118"/>
      <c r="S49" s="119"/>
    </row>
    <row r="50" spans="2:19" x14ac:dyDescent="0.25">
      <c r="B50" s="174"/>
      <c r="C50" s="117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  <c r="Q50" s="144" t="s">
        <v>37</v>
      </c>
      <c r="S50" s="119"/>
    </row>
    <row r="51" spans="2:19" x14ac:dyDescent="0.25">
      <c r="B51" s="174"/>
      <c r="C51" s="117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9"/>
      <c r="Q51" s="145" t="s">
        <v>39</v>
      </c>
      <c r="R51" s="146">
        <v>1.3</v>
      </c>
      <c r="S51" s="119"/>
    </row>
    <row r="52" spans="2:19" x14ac:dyDescent="0.25">
      <c r="B52" s="174"/>
      <c r="C52" s="117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9"/>
      <c r="Q52" s="145" t="s">
        <v>40</v>
      </c>
      <c r="R52" s="147">
        <v>1</v>
      </c>
      <c r="S52" s="119"/>
    </row>
    <row r="53" spans="2:19" x14ac:dyDescent="0.25">
      <c r="B53" s="174"/>
      <c r="C53" s="117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  <c r="Q53" s="144"/>
      <c r="R53" s="118"/>
      <c r="S53" s="119"/>
    </row>
    <row r="54" spans="2:19" x14ac:dyDescent="0.25">
      <c r="B54" s="174"/>
      <c r="C54" s="117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9"/>
      <c r="Q54" s="144"/>
      <c r="R54" s="118"/>
      <c r="S54" s="119"/>
    </row>
    <row r="55" spans="2:19" x14ac:dyDescent="0.25">
      <c r="B55" s="174"/>
      <c r="C55" s="117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44" t="s">
        <v>18</v>
      </c>
      <c r="R55" s="147">
        <v>1</v>
      </c>
      <c r="S55" s="119"/>
    </row>
    <row r="56" spans="2:19" x14ac:dyDescent="0.25">
      <c r="B56" s="174"/>
      <c r="C56" s="117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  <c r="Q56" s="144"/>
      <c r="R56" s="146"/>
      <c r="S56" s="119"/>
    </row>
    <row r="57" spans="2:19" x14ac:dyDescent="0.25">
      <c r="B57" s="174"/>
      <c r="C57" s="117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9"/>
      <c r="Q57" s="144"/>
      <c r="R57" s="146"/>
      <c r="S57" s="119"/>
    </row>
    <row r="58" spans="2:19" x14ac:dyDescent="0.25">
      <c r="B58" s="174"/>
      <c r="C58" s="117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9"/>
      <c r="Q58" s="144"/>
      <c r="R58" s="146"/>
      <c r="S58" s="119"/>
    </row>
    <row r="59" spans="2:19" x14ac:dyDescent="0.25">
      <c r="B59" s="174"/>
      <c r="C59" s="117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  <c r="Q59" s="144"/>
      <c r="R59" s="146"/>
      <c r="S59" s="119"/>
    </row>
    <row r="60" spans="2:19" x14ac:dyDescent="0.25">
      <c r="B60" s="174"/>
      <c r="C60" s="117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9"/>
      <c r="Q60" s="144"/>
      <c r="R60" s="146"/>
      <c r="S60" s="119"/>
    </row>
    <row r="61" spans="2:19" x14ac:dyDescent="0.25">
      <c r="B61" s="174"/>
      <c r="C61" s="117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9"/>
      <c r="Q61" s="144" t="str">
        <f>IF(G8&gt;2,"(3) D22或較大之鋼筋       ==&gt; ψs = 1.0","(3) D19或較小之鋼筋及麻面鋼線       ==&gt; ψs = 0.8")</f>
        <v>(3) D19或較小之鋼筋及麻面鋼線       ==&gt; ψs = 0.8</v>
      </c>
      <c r="R61" s="147">
        <f>IF(G8&gt;2,1,0.8)</f>
        <v>0.8</v>
      </c>
      <c r="S61" s="119"/>
    </row>
    <row r="62" spans="2:19" x14ac:dyDescent="0.25">
      <c r="B62" s="174"/>
      <c r="C62" s="117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  <c r="Q62" s="144"/>
      <c r="R62" s="146"/>
      <c r="S62" s="119"/>
    </row>
    <row r="63" spans="2:19" x14ac:dyDescent="0.25">
      <c r="B63" s="174"/>
      <c r="C63" s="117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9"/>
      <c r="Q63" s="144"/>
      <c r="R63" s="146"/>
      <c r="S63" s="119"/>
    </row>
    <row r="64" spans="2:19" x14ac:dyDescent="0.25">
      <c r="B64" s="174"/>
      <c r="C64" s="117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  <c r="Q64" s="144"/>
      <c r="R64" s="146"/>
      <c r="S64" s="119"/>
    </row>
    <row r="65" spans="2:20" x14ac:dyDescent="0.25">
      <c r="B65" s="174"/>
      <c r="C65" s="117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  <c r="Q65" s="144"/>
      <c r="R65" s="146"/>
      <c r="S65" s="119"/>
    </row>
    <row r="66" spans="2:20" x14ac:dyDescent="0.25">
      <c r="B66" s="174"/>
      <c r="C66" s="117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  <c r="Q66" s="144" t="s">
        <v>36</v>
      </c>
      <c r="R66" s="147">
        <v>1</v>
      </c>
      <c r="S66" s="119"/>
    </row>
    <row r="67" spans="2:20" x14ac:dyDescent="0.25">
      <c r="B67" s="174"/>
      <c r="C67" s="117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  <c r="S67" s="119"/>
    </row>
    <row r="68" spans="2:20" x14ac:dyDescent="0.25">
      <c r="B68" s="174"/>
      <c r="C68" s="117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20" x14ac:dyDescent="0.25">
      <c r="B69" s="174"/>
      <c r="C69" s="117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  <c r="Q69" s="117"/>
      <c r="R69" s="118"/>
      <c r="S69" s="119"/>
    </row>
    <row r="70" spans="2:20" x14ac:dyDescent="0.25">
      <c r="B70" s="174"/>
      <c r="C70" s="117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  <c r="Q70" s="117"/>
      <c r="R70" s="118"/>
      <c r="S70" s="119"/>
    </row>
    <row r="71" spans="2:20" x14ac:dyDescent="0.25">
      <c r="B71" s="175"/>
      <c r="C71" s="1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6"/>
      <c r="Q71" s="123"/>
      <c r="R71" s="124"/>
      <c r="S71" s="126"/>
    </row>
    <row r="72" spans="2:20" x14ac:dyDescent="0.25">
      <c r="B72" s="173">
        <v>4</v>
      </c>
      <c r="C72" s="117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  <c r="Q72" s="127"/>
      <c r="R72" s="129"/>
      <c r="S72" s="130"/>
    </row>
    <row r="73" spans="2:20" x14ac:dyDescent="0.25">
      <c r="B73" s="174"/>
      <c r="C73" s="117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  <c r="Q73" s="136"/>
      <c r="R73" s="118"/>
      <c r="S73" s="119"/>
    </row>
    <row r="74" spans="2:20" x14ac:dyDescent="0.25">
      <c r="B74" s="174"/>
      <c r="C74" s="117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  <c r="Q74" s="138" t="s">
        <v>71</v>
      </c>
      <c r="R74" s="148">
        <f>ROUNDUP(MAX(R43*1.3,30),0)</f>
        <v>66</v>
      </c>
      <c r="S74" s="119" t="s">
        <v>1</v>
      </c>
    </row>
    <row r="75" spans="2:20" x14ac:dyDescent="0.25">
      <c r="B75" s="174"/>
      <c r="C75" s="117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  <c r="Q75" s="136" t="s">
        <v>72</v>
      </c>
      <c r="R75" s="148">
        <f>ROUNDUP(MAX(R44*1.3,30),0)</f>
        <v>51</v>
      </c>
      <c r="S75" s="119" t="s">
        <v>1</v>
      </c>
    </row>
    <row r="76" spans="2:20" x14ac:dyDescent="0.25">
      <c r="B76" s="174"/>
      <c r="C76" s="117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  <c r="Q76" s="136"/>
      <c r="R76" s="118"/>
      <c r="S76" s="119"/>
    </row>
    <row r="77" spans="2:20" x14ac:dyDescent="0.25">
      <c r="B77" s="174"/>
      <c r="C77" s="117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9"/>
      <c r="Q77" s="136"/>
      <c r="R77" s="118"/>
      <c r="S77" s="119"/>
    </row>
    <row r="78" spans="2:20" x14ac:dyDescent="0.25">
      <c r="B78" s="174"/>
      <c r="C78" s="117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9"/>
      <c r="Q78" s="117"/>
      <c r="R78" s="118"/>
      <c r="S78" s="119"/>
    </row>
    <row r="79" spans="2:20" x14ac:dyDescent="0.25">
      <c r="B79" s="174"/>
      <c r="C79" s="117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9"/>
      <c r="Q79" s="117"/>
      <c r="R79" s="118"/>
      <c r="S79" s="119"/>
      <c r="T79" s="118"/>
    </row>
    <row r="80" spans="2:20" x14ac:dyDescent="0.25">
      <c r="B80" s="174"/>
      <c r="C80" s="117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9"/>
      <c r="Q80" s="117"/>
      <c r="R80" s="118"/>
      <c r="S80" s="119"/>
      <c r="T80" s="118"/>
    </row>
    <row r="81" spans="2:20" x14ac:dyDescent="0.25">
      <c r="B81" s="174"/>
      <c r="C81" s="117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9"/>
      <c r="Q81" s="117"/>
      <c r="R81" s="118"/>
      <c r="S81" s="119"/>
      <c r="T81" s="118"/>
    </row>
    <row r="82" spans="2:20" x14ac:dyDescent="0.25">
      <c r="B82" s="174"/>
      <c r="C82" s="117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9"/>
      <c r="Q82" s="117"/>
      <c r="R82" s="118"/>
      <c r="S82" s="119"/>
      <c r="T82" s="118"/>
    </row>
    <row r="83" spans="2:20" x14ac:dyDescent="0.25">
      <c r="B83" s="174"/>
      <c r="C83" s="117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9"/>
      <c r="Q83" s="117"/>
      <c r="R83" s="118"/>
      <c r="S83" s="119"/>
      <c r="T83" s="118"/>
    </row>
    <row r="84" spans="2:20" x14ac:dyDescent="0.25">
      <c r="B84" s="174"/>
      <c r="C84" s="117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9"/>
      <c r="Q84" s="117"/>
      <c r="R84" s="118"/>
      <c r="S84" s="119"/>
      <c r="T84" s="118"/>
    </row>
    <row r="85" spans="2:20" x14ac:dyDescent="0.25">
      <c r="B85" s="174"/>
      <c r="C85" s="117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9"/>
      <c r="Q85" s="117"/>
      <c r="R85" s="118"/>
      <c r="S85" s="119"/>
      <c r="T85" s="118"/>
    </row>
    <row r="86" spans="2:20" x14ac:dyDescent="0.25">
      <c r="B86" s="174"/>
      <c r="C86" s="117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9"/>
      <c r="Q86" s="117"/>
      <c r="R86" s="118"/>
      <c r="S86" s="119"/>
      <c r="T86" s="118"/>
    </row>
    <row r="87" spans="2:20" x14ac:dyDescent="0.25">
      <c r="B87" s="174"/>
      <c r="C87" s="117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9"/>
      <c r="Q87" s="117"/>
      <c r="R87" s="118"/>
      <c r="S87" s="119"/>
      <c r="T87" s="118"/>
    </row>
    <row r="88" spans="2:20" x14ac:dyDescent="0.25">
      <c r="B88" s="174"/>
      <c r="C88" s="117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9"/>
      <c r="Q88" s="117"/>
      <c r="R88" s="118"/>
      <c r="S88" s="119"/>
      <c r="T88" s="118"/>
    </row>
    <row r="89" spans="2:20" x14ac:dyDescent="0.25">
      <c r="B89" s="175"/>
      <c r="C89" s="123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6"/>
      <c r="Q89" s="123"/>
      <c r="R89" s="124"/>
      <c r="S89" s="126"/>
    </row>
  </sheetData>
  <mergeCells count="8">
    <mergeCell ref="B72:B89"/>
    <mergeCell ref="B4:B8"/>
    <mergeCell ref="E4:N4"/>
    <mergeCell ref="Q4:S8"/>
    <mergeCell ref="B9:B20"/>
    <mergeCell ref="B21:B34"/>
    <mergeCell ref="B35:B71"/>
    <mergeCell ref="S41:S42"/>
  </mergeCells>
  <phoneticPr fontId="1" type="noConversion"/>
  <pageMargins left="0.11811023622047245" right="0.70866141732283472" top="0.74803149606299213" bottom="0.74803149606299213" header="0.31496062992125984" footer="0.31496062992125984"/>
  <pageSetup paperSize="8" scale="3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17">
    <tabColor rgb="FFFFC000"/>
    <pageSetUpPr fitToPage="1"/>
  </sheetPr>
  <dimension ref="A1:T89"/>
  <sheetViews>
    <sheetView topLeftCell="A10" zoomScale="70" zoomScaleNormal="70" workbookViewId="0">
      <selection activeCell="Q27" sqref="Q27"/>
    </sheetView>
  </sheetViews>
  <sheetFormatPr defaultColWidth="9" defaultRowHeight="18.75" x14ac:dyDescent="0.25"/>
  <cols>
    <col min="1" max="1" width="10.125" style="75" customWidth="1"/>
    <col min="2" max="2" width="14.125" style="75" bestFit="1" customWidth="1"/>
    <col min="3" max="3" width="9" style="75" customWidth="1"/>
    <col min="4" max="5" width="5.875" style="75" bestFit="1" customWidth="1"/>
    <col min="6" max="6" width="10" style="75" bestFit="1" customWidth="1"/>
    <col min="7" max="7" width="11.375" style="75" customWidth="1"/>
    <col min="8" max="8" width="9" style="75" customWidth="1"/>
    <col min="9" max="9" width="10.625" style="75" bestFit="1" customWidth="1"/>
    <col min="10" max="11" width="10.125" style="75" bestFit="1" customWidth="1"/>
    <col min="12" max="12" width="10" style="75" bestFit="1" customWidth="1"/>
    <col min="13" max="13" width="11.625" style="75" bestFit="1" customWidth="1"/>
    <col min="14" max="15" width="9" style="75" customWidth="1"/>
    <col min="16" max="16" width="4.125" style="75" customWidth="1"/>
    <col min="17" max="17" width="122" style="75" bestFit="1" customWidth="1"/>
    <col min="18" max="18" width="9" style="75"/>
    <col min="19" max="19" width="7.625" style="75" customWidth="1"/>
    <col min="20" max="16384" width="9" style="75"/>
  </cols>
  <sheetData>
    <row r="1" spans="1:19" x14ac:dyDescent="0.25">
      <c r="A1" s="74"/>
      <c r="B1" s="74"/>
    </row>
    <row r="2" spans="1:19" x14ac:dyDescent="0.25">
      <c r="A2" s="74"/>
      <c r="B2" s="74" t="s">
        <v>47</v>
      </c>
    </row>
    <row r="4" spans="1:19" ht="17.25" customHeight="1" thickBot="1" x14ac:dyDescent="0.3">
      <c r="B4" s="186"/>
      <c r="C4" s="76"/>
      <c r="D4" s="77"/>
      <c r="E4" s="189" t="s">
        <v>48</v>
      </c>
      <c r="F4" s="189"/>
      <c r="G4" s="189"/>
      <c r="H4" s="189"/>
      <c r="I4" s="189"/>
      <c r="J4" s="189"/>
      <c r="K4" s="189"/>
      <c r="L4" s="189"/>
      <c r="M4" s="189"/>
      <c r="N4" s="189"/>
      <c r="O4" s="77"/>
      <c r="P4" s="78"/>
      <c r="Q4" s="190" t="s">
        <v>16</v>
      </c>
      <c r="R4" s="191"/>
      <c r="S4" s="192"/>
    </row>
    <row r="5" spans="1:19" ht="19.5" thickTop="1" x14ac:dyDescent="0.25">
      <c r="B5" s="187"/>
      <c r="C5" s="79"/>
      <c r="E5" s="80"/>
      <c r="F5" s="80"/>
      <c r="G5" s="80" t="s">
        <v>3</v>
      </c>
      <c r="H5" s="80" t="s">
        <v>5</v>
      </c>
      <c r="I5" s="80" t="s">
        <v>6</v>
      </c>
      <c r="J5" s="80" t="s">
        <v>7</v>
      </c>
      <c r="K5" s="80" t="s">
        <v>49</v>
      </c>
      <c r="M5" s="80"/>
      <c r="O5" s="80"/>
      <c r="P5" s="81"/>
      <c r="Q5" s="193"/>
      <c r="R5" s="194"/>
      <c r="S5" s="195"/>
    </row>
    <row r="6" spans="1:19" x14ac:dyDescent="0.25">
      <c r="B6" s="187"/>
      <c r="C6" s="79"/>
      <c r="E6" s="80"/>
      <c r="G6" s="80" t="s">
        <v>12</v>
      </c>
      <c r="H6" s="80" t="s">
        <v>11</v>
      </c>
      <c r="I6" s="80" t="s">
        <v>13</v>
      </c>
      <c r="J6" s="80" t="s">
        <v>14</v>
      </c>
      <c r="K6" s="80" t="s">
        <v>11</v>
      </c>
      <c r="M6" s="80"/>
      <c r="O6" s="80"/>
      <c r="P6" s="81"/>
      <c r="Q6" s="193"/>
      <c r="R6" s="194"/>
      <c r="S6" s="195"/>
    </row>
    <row r="7" spans="1:19" x14ac:dyDescent="0.25">
      <c r="B7" s="187"/>
      <c r="C7" s="79"/>
      <c r="E7" s="82"/>
      <c r="G7" s="83">
        <v>12.7</v>
      </c>
      <c r="H7" s="84">
        <v>2</v>
      </c>
      <c r="I7" s="84">
        <v>280</v>
      </c>
      <c r="J7" s="84">
        <v>4200</v>
      </c>
      <c r="K7" s="84">
        <v>15</v>
      </c>
      <c r="M7" s="82"/>
      <c r="O7" s="80"/>
      <c r="P7" s="81"/>
      <c r="Q7" s="193"/>
      <c r="R7" s="194"/>
      <c r="S7" s="195"/>
    </row>
    <row r="8" spans="1:19" x14ac:dyDescent="0.25">
      <c r="B8" s="188"/>
      <c r="C8" s="85"/>
      <c r="E8" s="86"/>
      <c r="F8" s="86"/>
      <c r="G8" s="87">
        <f>G7/10</f>
        <v>1.27</v>
      </c>
      <c r="H8" s="86"/>
      <c r="I8" s="86"/>
      <c r="J8" s="86"/>
      <c r="K8" s="86"/>
      <c r="M8" s="86"/>
      <c r="O8" s="86"/>
      <c r="P8" s="88"/>
      <c r="Q8" s="196"/>
      <c r="R8" s="197"/>
      <c r="S8" s="198"/>
    </row>
    <row r="9" spans="1:19" x14ac:dyDescent="0.25">
      <c r="B9" s="186">
        <v>1</v>
      </c>
      <c r="C9" s="89"/>
      <c r="D9" s="90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89"/>
      <c r="R9" s="91"/>
      <c r="S9" s="92"/>
    </row>
    <row r="10" spans="1:19" x14ac:dyDescent="0.25">
      <c r="B10" s="187"/>
      <c r="C10" s="79"/>
      <c r="D10" s="93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  <c r="Q10" s="94" t="s">
        <v>21</v>
      </c>
      <c r="R10" s="95">
        <f>(R14*2-G8)/G8</f>
        <v>10.811023622047244</v>
      </c>
      <c r="S10" s="96" t="s">
        <v>20</v>
      </c>
    </row>
    <row r="11" spans="1:19" x14ac:dyDescent="0.25">
      <c r="B11" s="187"/>
      <c r="C11" s="79"/>
      <c r="D11" s="93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  <c r="Q11" s="94"/>
      <c r="R11" s="97"/>
      <c r="S11" s="96"/>
    </row>
    <row r="12" spans="1:19" x14ac:dyDescent="0.25">
      <c r="B12" s="187"/>
      <c r="C12" s="79"/>
      <c r="D12" s="93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  <c r="Q12" s="98" t="s">
        <v>33</v>
      </c>
      <c r="R12" s="99">
        <f>MIN(R13,R14)</f>
        <v>2.6349999999999998</v>
      </c>
      <c r="S12" s="81" t="s">
        <v>1</v>
      </c>
    </row>
    <row r="13" spans="1:19" x14ac:dyDescent="0.25">
      <c r="B13" s="187"/>
      <c r="C13" s="79"/>
      <c r="D13" s="93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  <c r="Q13" s="98" t="s">
        <v>52</v>
      </c>
      <c r="R13" s="99">
        <f>H7+G8/2</f>
        <v>2.6349999999999998</v>
      </c>
      <c r="S13" s="81" t="s">
        <v>11</v>
      </c>
    </row>
    <row r="14" spans="1:19" x14ac:dyDescent="0.25">
      <c r="B14" s="187"/>
      <c r="C14" s="79"/>
      <c r="D14" s="93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  <c r="Q14" s="98" t="s">
        <v>62</v>
      </c>
      <c r="R14" s="99">
        <f>(K7-G8*0)/2</f>
        <v>7.5</v>
      </c>
      <c r="S14" s="81" t="s">
        <v>1</v>
      </c>
    </row>
    <row r="15" spans="1:19" x14ac:dyDescent="0.25">
      <c r="B15" s="187"/>
      <c r="C15" s="79"/>
      <c r="D15" s="93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1"/>
    </row>
    <row r="16" spans="1:19" x14ac:dyDescent="0.25">
      <c r="B16" s="187"/>
      <c r="C16" s="79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1"/>
      <c r="Q16" s="100" t="s">
        <v>61</v>
      </c>
      <c r="R16" s="101">
        <f>H7</f>
        <v>2</v>
      </c>
      <c r="S16" s="81" t="s">
        <v>19</v>
      </c>
    </row>
    <row r="17" spans="2:19" x14ac:dyDescent="0.25">
      <c r="B17" s="187"/>
      <c r="C17" s="7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1"/>
      <c r="Q17" s="100" t="s">
        <v>60</v>
      </c>
      <c r="R17" s="101">
        <f>(K7-G8)/2</f>
        <v>6.8650000000000002</v>
      </c>
      <c r="S17" s="81" t="s">
        <v>19</v>
      </c>
    </row>
    <row r="18" spans="2:19" x14ac:dyDescent="0.25">
      <c r="B18" s="187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1"/>
      <c r="Q18" s="98"/>
      <c r="R18" s="80" t="str">
        <f>IF(R17&lt;R16,"屬水平式劈裂","屬垂直式劈裂")</f>
        <v>屬垂直式劈裂</v>
      </c>
      <c r="S18" s="81"/>
    </row>
    <row r="19" spans="2:19" x14ac:dyDescent="0.25">
      <c r="B19" s="187"/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1"/>
      <c r="Q19" s="79"/>
      <c r="R19" s="80"/>
      <c r="S19" s="81"/>
    </row>
    <row r="20" spans="2:19" x14ac:dyDescent="0.25">
      <c r="B20" s="188"/>
      <c r="C20" s="85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8"/>
      <c r="Q20" s="85"/>
      <c r="R20" s="86"/>
      <c r="S20" s="88"/>
    </row>
    <row r="21" spans="2:19" x14ac:dyDescent="0.25">
      <c r="B21" s="186">
        <v>2</v>
      </c>
      <c r="C21" s="89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2"/>
      <c r="Q21" s="89"/>
      <c r="R21" s="91"/>
      <c r="S21" s="92"/>
    </row>
    <row r="22" spans="2:19" x14ac:dyDescent="0.25">
      <c r="B22" s="187"/>
      <c r="C22" s="79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1"/>
      <c r="Q22" s="98"/>
      <c r="R22" s="80"/>
      <c r="S22" s="81"/>
    </row>
    <row r="23" spans="2:19" x14ac:dyDescent="0.25">
      <c r="B23" s="187"/>
      <c r="C23" s="79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1"/>
      <c r="Q23" s="98"/>
      <c r="R23" s="99"/>
      <c r="S23" s="81"/>
    </row>
    <row r="24" spans="2:19" x14ac:dyDescent="0.25">
      <c r="B24" s="187"/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98"/>
      <c r="R24" s="99"/>
      <c r="S24" s="81"/>
    </row>
    <row r="25" spans="2:19" x14ac:dyDescent="0.25">
      <c r="B25" s="187"/>
      <c r="C25" s="79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  <c r="Q25" s="98"/>
      <c r="S25" s="81"/>
    </row>
    <row r="26" spans="2:19" x14ac:dyDescent="0.25">
      <c r="B26" s="187"/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1"/>
      <c r="Q26" s="98"/>
      <c r="R26" s="102"/>
      <c r="S26" s="103"/>
    </row>
    <row r="27" spans="2:19" x14ac:dyDescent="0.25">
      <c r="B27" s="187"/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98"/>
      <c r="R27" s="99"/>
      <c r="S27" s="81"/>
    </row>
    <row r="28" spans="2:19" x14ac:dyDescent="0.25">
      <c r="B28" s="187"/>
      <c r="C28" s="79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1"/>
      <c r="Q28" s="98"/>
      <c r="R28" s="99"/>
      <c r="S28" s="81"/>
    </row>
    <row r="29" spans="2:19" x14ac:dyDescent="0.25">
      <c r="B29" s="187"/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1"/>
      <c r="Q29" s="98"/>
      <c r="R29" s="99"/>
      <c r="S29" s="103"/>
    </row>
    <row r="30" spans="2:19" x14ac:dyDescent="0.25">
      <c r="B30" s="187"/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  <c r="Q30" s="100" t="s">
        <v>53</v>
      </c>
      <c r="R30" s="104">
        <v>0</v>
      </c>
      <c r="S30" s="105" t="s">
        <v>1</v>
      </c>
    </row>
    <row r="31" spans="2:19" x14ac:dyDescent="0.25">
      <c r="B31" s="187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1"/>
      <c r="Q31" s="98"/>
      <c r="R31" s="99"/>
      <c r="S31" s="81"/>
    </row>
    <row r="32" spans="2:19" ht="19.5" x14ac:dyDescent="0.25">
      <c r="B32" s="187"/>
      <c r="C32" s="79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1"/>
      <c r="Q32" s="98" t="s">
        <v>64</v>
      </c>
      <c r="R32" s="101">
        <f>MAX(G8/R12,0.4)</f>
        <v>0.48197343453510438</v>
      </c>
      <c r="S32" s="81"/>
    </row>
    <row r="33" spans="2:19" x14ac:dyDescent="0.25">
      <c r="B33" s="187"/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1"/>
      <c r="Q33" s="79"/>
      <c r="R33" s="80"/>
      <c r="S33" s="81"/>
    </row>
    <row r="34" spans="2:19" x14ac:dyDescent="0.25">
      <c r="B34" s="188"/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8"/>
      <c r="Q34" s="85"/>
      <c r="R34" s="86"/>
      <c r="S34" s="88"/>
    </row>
    <row r="35" spans="2:19" x14ac:dyDescent="0.25">
      <c r="B35" s="186">
        <v>3</v>
      </c>
      <c r="C35" s="89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2"/>
      <c r="Q35" s="89"/>
      <c r="R35" s="91"/>
      <c r="S35" s="92"/>
    </row>
    <row r="36" spans="2:19" x14ac:dyDescent="0.25">
      <c r="B36" s="187"/>
      <c r="C36" s="79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1"/>
      <c r="R36" s="80"/>
      <c r="S36" s="81"/>
    </row>
    <row r="37" spans="2:19" ht="19.5" x14ac:dyDescent="0.25">
      <c r="B37" s="187"/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  <c r="Q37" s="5" t="s">
        <v>77</v>
      </c>
      <c r="R37" s="99">
        <f>0.28*J7*G8/SQRT(I7)</f>
        <v>89.25489163065518</v>
      </c>
      <c r="S37" s="81" t="s">
        <v>1</v>
      </c>
    </row>
    <row r="38" spans="2:19" x14ac:dyDescent="0.25">
      <c r="B38" s="187"/>
      <c r="C38" s="79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1"/>
      <c r="Q38" s="98"/>
      <c r="R38" s="99"/>
      <c r="S38" s="81"/>
    </row>
    <row r="39" spans="2:19" x14ac:dyDescent="0.25">
      <c r="B39" s="187"/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1"/>
      <c r="Q39" s="98" t="s">
        <v>38</v>
      </c>
      <c r="R39" s="101">
        <f>R51*R55*R61*R66*R32</f>
        <v>0.50125237191650862</v>
      </c>
      <c r="S39" s="81"/>
    </row>
    <row r="40" spans="2:19" x14ac:dyDescent="0.25">
      <c r="B40" s="187"/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  <c r="Q40" s="98" t="s">
        <v>41</v>
      </c>
      <c r="R40" s="101">
        <f>R52*R55*R61*R66*R32</f>
        <v>0.38557874762808353</v>
      </c>
      <c r="S40" s="81"/>
    </row>
    <row r="41" spans="2:19" x14ac:dyDescent="0.25">
      <c r="B41" s="187"/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1"/>
      <c r="Q41" s="98"/>
      <c r="S41" s="195"/>
    </row>
    <row r="42" spans="2:19" x14ac:dyDescent="0.25">
      <c r="B42" s="187"/>
      <c r="C42" s="79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1"/>
      <c r="Q42" s="98"/>
      <c r="R42" s="102"/>
      <c r="S42" s="195"/>
    </row>
    <row r="43" spans="2:19" x14ac:dyDescent="0.25">
      <c r="B43" s="187"/>
      <c r="C43" s="79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1"/>
      <c r="Q43" s="98" t="s">
        <v>55</v>
      </c>
      <c r="R43" s="99">
        <f>R37*R39</f>
        <v>44.739226135016843</v>
      </c>
      <c r="S43" s="81" t="s">
        <v>1</v>
      </c>
    </row>
    <row r="44" spans="2:19" x14ac:dyDescent="0.25">
      <c r="B44" s="187"/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1"/>
      <c r="Q44" s="98" t="s">
        <v>56</v>
      </c>
      <c r="R44" s="99">
        <f>R37*R40</f>
        <v>34.414789334628338</v>
      </c>
      <c r="S44" s="81" t="s">
        <v>1</v>
      </c>
    </row>
    <row r="45" spans="2:19" x14ac:dyDescent="0.25">
      <c r="B45" s="187"/>
      <c r="C45" s="79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1"/>
      <c r="Q45" s="79"/>
      <c r="R45" s="80"/>
      <c r="S45" s="81"/>
    </row>
    <row r="46" spans="2:19" x14ac:dyDescent="0.25">
      <c r="B46" s="187"/>
      <c r="C46" s="79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1"/>
      <c r="Q46" s="79"/>
      <c r="R46" s="80"/>
      <c r="S46" s="81"/>
    </row>
    <row r="47" spans="2:19" ht="37.5" x14ac:dyDescent="0.25">
      <c r="B47" s="187"/>
      <c r="C47" s="79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1"/>
      <c r="Q47" s="106" t="s">
        <v>17</v>
      </c>
      <c r="R47" s="80"/>
      <c r="S47" s="81"/>
    </row>
    <row r="48" spans="2:19" x14ac:dyDescent="0.25">
      <c r="B48" s="187"/>
      <c r="C48" s="79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1"/>
      <c r="Q48" s="107"/>
      <c r="R48" s="80"/>
      <c r="S48" s="81"/>
    </row>
    <row r="49" spans="2:19" x14ac:dyDescent="0.25">
      <c r="B49" s="187"/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1"/>
      <c r="Q49" s="107"/>
      <c r="R49" s="80"/>
      <c r="S49" s="81"/>
    </row>
    <row r="50" spans="2:19" x14ac:dyDescent="0.25">
      <c r="B50" s="187"/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1"/>
      <c r="Q50" s="107" t="s">
        <v>37</v>
      </c>
      <c r="S50" s="81"/>
    </row>
    <row r="51" spans="2:19" x14ac:dyDescent="0.25">
      <c r="B51" s="187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1"/>
      <c r="Q51" s="108" t="s">
        <v>39</v>
      </c>
      <c r="R51" s="109">
        <v>1.3</v>
      </c>
      <c r="S51" s="81"/>
    </row>
    <row r="52" spans="2:19" x14ac:dyDescent="0.25">
      <c r="B52" s="187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1"/>
      <c r="Q52" s="108" t="s">
        <v>40</v>
      </c>
      <c r="R52" s="110">
        <v>1</v>
      </c>
      <c r="S52" s="81"/>
    </row>
    <row r="53" spans="2:19" x14ac:dyDescent="0.25">
      <c r="B53" s="187"/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1"/>
      <c r="Q53" s="107"/>
      <c r="R53" s="80"/>
      <c r="S53" s="81"/>
    </row>
    <row r="54" spans="2:19" x14ac:dyDescent="0.25">
      <c r="B54" s="187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1"/>
      <c r="Q54" s="107"/>
      <c r="R54" s="80"/>
      <c r="S54" s="81"/>
    </row>
    <row r="55" spans="2:19" x14ac:dyDescent="0.25">
      <c r="B55" s="187"/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1"/>
      <c r="Q55" s="107" t="s">
        <v>18</v>
      </c>
      <c r="R55" s="110">
        <v>1</v>
      </c>
      <c r="S55" s="81"/>
    </row>
    <row r="56" spans="2:19" x14ac:dyDescent="0.25">
      <c r="B56" s="187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1"/>
      <c r="Q56" s="107"/>
      <c r="R56" s="109"/>
      <c r="S56" s="81"/>
    </row>
    <row r="57" spans="2:19" x14ac:dyDescent="0.25">
      <c r="B57" s="187"/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1"/>
      <c r="Q57" s="107"/>
      <c r="R57" s="109"/>
      <c r="S57" s="81"/>
    </row>
    <row r="58" spans="2:19" x14ac:dyDescent="0.25">
      <c r="B58" s="187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1"/>
      <c r="Q58" s="107"/>
      <c r="R58" s="109"/>
      <c r="S58" s="81"/>
    </row>
    <row r="59" spans="2:19" x14ac:dyDescent="0.25">
      <c r="B59" s="187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1"/>
      <c r="Q59" s="107"/>
      <c r="R59" s="109"/>
      <c r="S59" s="81"/>
    </row>
    <row r="60" spans="2:19" x14ac:dyDescent="0.25">
      <c r="B60" s="187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1"/>
      <c r="Q60" s="107"/>
      <c r="R60" s="109"/>
      <c r="S60" s="81"/>
    </row>
    <row r="61" spans="2:19" x14ac:dyDescent="0.25">
      <c r="B61" s="187"/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1"/>
      <c r="Q61" s="107" t="str">
        <f>IF(G8&gt;2,"(3) D22或較大之鋼筋       ==&gt; ψs = 1.0","(3) D19或較小之鋼筋及麻面鋼線       ==&gt; ψs = 0.8")</f>
        <v>(3) D19或較小之鋼筋及麻面鋼線       ==&gt; ψs = 0.8</v>
      </c>
      <c r="R61" s="110">
        <f>IF(G8&gt;2,1,0.8)</f>
        <v>0.8</v>
      </c>
      <c r="S61" s="81"/>
    </row>
    <row r="62" spans="2:19" x14ac:dyDescent="0.25">
      <c r="B62" s="187"/>
      <c r="C62" s="79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1"/>
      <c r="Q62" s="107"/>
      <c r="R62" s="109"/>
      <c r="S62" s="81"/>
    </row>
    <row r="63" spans="2:19" x14ac:dyDescent="0.25">
      <c r="B63" s="187"/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1"/>
      <c r="Q63" s="107"/>
      <c r="R63" s="109"/>
      <c r="S63" s="81"/>
    </row>
    <row r="64" spans="2:19" x14ac:dyDescent="0.25">
      <c r="B64" s="187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1"/>
      <c r="Q64" s="107"/>
      <c r="R64" s="109"/>
      <c r="S64" s="81"/>
    </row>
    <row r="65" spans="2:20" x14ac:dyDescent="0.25">
      <c r="B65" s="187"/>
      <c r="C65" s="7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1"/>
      <c r="Q65" s="107"/>
      <c r="R65" s="109"/>
      <c r="S65" s="81"/>
    </row>
    <row r="66" spans="2:20" x14ac:dyDescent="0.25">
      <c r="B66" s="187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1"/>
      <c r="Q66" s="107" t="s">
        <v>36</v>
      </c>
      <c r="R66" s="110">
        <v>1</v>
      </c>
      <c r="S66" s="81"/>
    </row>
    <row r="67" spans="2:20" x14ac:dyDescent="0.25">
      <c r="B67" s="187"/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1"/>
      <c r="S67" s="81"/>
    </row>
    <row r="68" spans="2:20" x14ac:dyDescent="0.25">
      <c r="B68" s="187"/>
      <c r="C68" s="79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1"/>
      <c r="S68" s="81"/>
    </row>
    <row r="69" spans="2:20" x14ac:dyDescent="0.25">
      <c r="B69" s="187"/>
      <c r="C69" s="79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1"/>
      <c r="Q69" s="79"/>
      <c r="R69" s="80"/>
      <c r="S69" s="81"/>
    </row>
    <row r="70" spans="2:20" x14ac:dyDescent="0.25">
      <c r="B70" s="187"/>
      <c r="C70" s="79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1"/>
      <c r="Q70" s="79"/>
      <c r="R70" s="80"/>
      <c r="S70" s="81"/>
    </row>
    <row r="71" spans="2:20" x14ac:dyDescent="0.25">
      <c r="B71" s="188"/>
      <c r="C71" s="8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8"/>
      <c r="Q71" s="85"/>
      <c r="R71" s="86"/>
      <c r="S71" s="88"/>
    </row>
    <row r="72" spans="2:20" x14ac:dyDescent="0.25">
      <c r="B72" s="186">
        <v>4</v>
      </c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1"/>
      <c r="Q72" s="89"/>
      <c r="R72" s="91"/>
      <c r="S72" s="92"/>
    </row>
    <row r="73" spans="2:20" x14ac:dyDescent="0.25">
      <c r="B73" s="187"/>
      <c r="C73" s="79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1"/>
      <c r="Q73" s="98"/>
      <c r="R73" s="80"/>
      <c r="S73" s="81"/>
    </row>
    <row r="74" spans="2:20" x14ac:dyDescent="0.25">
      <c r="B74" s="187"/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1"/>
      <c r="Q74" s="100" t="s">
        <v>65</v>
      </c>
      <c r="R74" s="111">
        <f>ROUNDUP(MAX(R43*1.3,30),0)</f>
        <v>59</v>
      </c>
      <c r="S74" s="81" t="s">
        <v>1</v>
      </c>
    </row>
    <row r="75" spans="2:20" x14ac:dyDescent="0.25">
      <c r="B75" s="187"/>
      <c r="C75" s="79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1"/>
      <c r="Q75" s="98" t="s">
        <v>66</v>
      </c>
      <c r="R75" s="111">
        <f>ROUNDUP(MAX(R44*1.3,30),0)</f>
        <v>45</v>
      </c>
      <c r="S75" s="81" t="s">
        <v>1</v>
      </c>
    </row>
    <row r="76" spans="2:20" x14ac:dyDescent="0.25">
      <c r="B76" s="187"/>
      <c r="C76" s="79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1"/>
      <c r="Q76" s="98"/>
      <c r="R76" s="80"/>
      <c r="S76" s="81"/>
    </row>
    <row r="77" spans="2:20" x14ac:dyDescent="0.25">
      <c r="B77" s="187"/>
      <c r="C77" s="79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1"/>
      <c r="Q77" s="98"/>
      <c r="R77" s="80"/>
      <c r="S77" s="81"/>
    </row>
    <row r="78" spans="2:20" x14ac:dyDescent="0.25">
      <c r="B78" s="187"/>
      <c r="C78" s="79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1"/>
      <c r="Q78" s="79"/>
      <c r="R78" s="80"/>
      <c r="S78" s="81"/>
    </row>
    <row r="79" spans="2:20" x14ac:dyDescent="0.25">
      <c r="B79" s="187"/>
      <c r="C79" s="79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1"/>
      <c r="Q79" s="79"/>
      <c r="R79" s="80"/>
      <c r="S79" s="81"/>
      <c r="T79" s="80"/>
    </row>
    <row r="80" spans="2:20" x14ac:dyDescent="0.25">
      <c r="B80" s="187"/>
      <c r="C80" s="79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1"/>
      <c r="Q80" s="79"/>
      <c r="R80" s="80"/>
      <c r="S80" s="81"/>
      <c r="T80" s="80"/>
    </row>
    <row r="81" spans="2:20" x14ac:dyDescent="0.25">
      <c r="B81" s="187"/>
      <c r="C81" s="79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1"/>
      <c r="Q81" s="79"/>
      <c r="R81" s="80"/>
      <c r="S81" s="81"/>
      <c r="T81" s="80"/>
    </row>
    <row r="82" spans="2:20" x14ac:dyDescent="0.25">
      <c r="B82" s="187"/>
      <c r="C82" s="79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1"/>
      <c r="Q82" s="79"/>
      <c r="R82" s="80"/>
      <c r="S82" s="81"/>
      <c r="T82" s="80"/>
    </row>
    <row r="83" spans="2:20" x14ac:dyDescent="0.25">
      <c r="B83" s="187"/>
      <c r="C83" s="79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1"/>
      <c r="Q83" s="79"/>
      <c r="R83" s="80"/>
      <c r="S83" s="81"/>
      <c r="T83" s="80"/>
    </row>
    <row r="84" spans="2:20" x14ac:dyDescent="0.25">
      <c r="B84" s="187"/>
      <c r="C84" s="79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1"/>
      <c r="Q84" s="79"/>
      <c r="R84" s="80"/>
      <c r="S84" s="81"/>
      <c r="T84" s="80"/>
    </row>
    <row r="85" spans="2:20" x14ac:dyDescent="0.25">
      <c r="B85" s="187"/>
      <c r="C85" s="79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1"/>
      <c r="Q85" s="79"/>
      <c r="R85" s="80"/>
      <c r="S85" s="81"/>
      <c r="T85" s="80"/>
    </row>
    <row r="86" spans="2:20" x14ac:dyDescent="0.25">
      <c r="B86" s="187"/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1"/>
      <c r="Q86" s="79"/>
      <c r="R86" s="80"/>
      <c r="S86" s="81"/>
      <c r="T86" s="80"/>
    </row>
    <row r="87" spans="2:20" x14ac:dyDescent="0.25">
      <c r="B87" s="187"/>
      <c r="C87" s="79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1"/>
      <c r="Q87" s="79"/>
      <c r="R87" s="80"/>
      <c r="S87" s="81"/>
      <c r="T87" s="80"/>
    </row>
    <row r="88" spans="2:20" x14ac:dyDescent="0.25">
      <c r="B88" s="187"/>
      <c r="C88" s="79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1"/>
      <c r="Q88" s="79"/>
      <c r="R88" s="80"/>
      <c r="S88" s="81"/>
      <c r="T88" s="80"/>
    </row>
    <row r="89" spans="2:20" x14ac:dyDescent="0.25">
      <c r="B89" s="188"/>
      <c r="C89" s="85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8"/>
      <c r="Q89" s="85"/>
      <c r="R89" s="86"/>
      <c r="S89" s="88"/>
    </row>
  </sheetData>
  <mergeCells count="8">
    <mergeCell ref="B72:B89"/>
    <mergeCell ref="B4:B8"/>
    <mergeCell ref="E4:N4"/>
    <mergeCell ref="Q4:S8"/>
    <mergeCell ref="B9:B20"/>
    <mergeCell ref="B21:B34"/>
    <mergeCell ref="B35:B71"/>
    <mergeCell ref="S41:S42"/>
  </mergeCells>
  <phoneticPr fontId="1" type="noConversion"/>
  <pageMargins left="0.11811023622047245" right="0.70866141732283472" top="0.74803149606299213" bottom="0.74803149606299213" header="0.31496062992125984" footer="0.31496062992125984"/>
  <pageSetup paperSize="8" scale="3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109F-458F-49BF-BD29-322C75CDE3B2}">
  <sheetPr>
    <tabColor rgb="FFFFC000"/>
    <pageSetUpPr fitToPage="1"/>
  </sheetPr>
  <dimension ref="A1:T89"/>
  <sheetViews>
    <sheetView tabSelected="1" zoomScale="75" zoomScaleNormal="75" workbookViewId="0">
      <selection activeCell="Q86" sqref="Q86"/>
    </sheetView>
  </sheetViews>
  <sheetFormatPr defaultColWidth="9" defaultRowHeight="18.75" x14ac:dyDescent="0.25"/>
  <cols>
    <col min="1" max="1" width="10.125" style="4" customWidth="1"/>
    <col min="2" max="2" width="14.125" style="4" bestFit="1" customWidth="1"/>
    <col min="3" max="3" width="9" style="4" customWidth="1"/>
    <col min="4" max="5" width="5.875" style="4" bestFit="1" customWidth="1"/>
    <col min="6" max="6" width="10" style="4" bestFit="1" customWidth="1"/>
    <col min="7" max="7" width="11.375" style="4" customWidth="1"/>
    <col min="8" max="8" width="9" style="4" customWidth="1"/>
    <col min="9" max="9" width="10.625" style="4" bestFit="1" customWidth="1"/>
    <col min="10" max="11" width="10.125" style="4" bestFit="1" customWidth="1"/>
    <col min="12" max="12" width="10" style="4" bestFit="1" customWidth="1"/>
    <col min="13" max="13" width="11.625" style="4" bestFit="1" customWidth="1"/>
    <col min="14" max="15" width="9" style="4" customWidth="1"/>
    <col min="16" max="16" width="4.125" style="4" customWidth="1"/>
    <col min="17" max="17" width="122" style="4" bestFit="1" customWidth="1"/>
    <col min="18" max="18" width="12" style="4" bestFit="1" customWidth="1"/>
    <col min="19" max="19" width="7.625" style="4" customWidth="1"/>
    <col min="20" max="16384" width="9" style="4"/>
  </cols>
  <sheetData>
    <row r="1" spans="1:19" x14ac:dyDescent="0.25">
      <c r="A1" s="25"/>
      <c r="B1" s="25"/>
    </row>
    <row r="2" spans="1:19" x14ac:dyDescent="0.25">
      <c r="A2" s="25"/>
      <c r="B2" s="25" t="s">
        <v>80</v>
      </c>
    </row>
    <row r="4" spans="1:19" ht="17.25" customHeight="1" thickBot="1" x14ac:dyDescent="0.3">
      <c r="B4" s="160"/>
      <c r="C4" s="11"/>
      <c r="D4" s="150"/>
      <c r="E4" s="163" t="s">
        <v>79</v>
      </c>
      <c r="F4" s="163"/>
      <c r="G4" s="163"/>
      <c r="H4" s="163"/>
      <c r="I4" s="163"/>
      <c r="J4" s="163"/>
      <c r="K4" s="163"/>
      <c r="L4" s="163"/>
      <c r="M4" s="163"/>
      <c r="N4" s="163"/>
      <c r="O4" s="150"/>
      <c r="P4" s="12"/>
      <c r="Q4" s="164" t="s">
        <v>16</v>
      </c>
      <c r="R4" s="165"/>
      <c r="S4" s="166"/>
    </row>
    <row r="5" spans="1:19" ht="19.5" thickTop="1" x14ac:dyDescent="0.25">
      <c r="B5" s="161"/>
      <c r="C5" s="154"/>
      <c r="E5" s="155"/>
      <c r="F5" s="155" t="s">
        <v>78</v>
      </c>
      <c r="G5" s="155" t="s">
        <v>3</v>
      </c>
      <c r="H5" s="155" t="s">
        <v>4</v>
      </c>
      <c r="I5" s="155" t="s">
        <v>5</v>
      </c>
      <c r="J5" s="155" t="s">
        <v>6</v>
      </c>
      <c r="K5" s="155" t="s">
        <v>7</v>
      </c>
      <c r="L5" s="155" t="s">
        <v>8</v>
      </c>
      <c r="M5" s="155" t="s">
        <v>9</v>
      </c>
      <c r="N5" s="155" t="s">
        <v>10</v>
      </c>
      <c r="O5" s="155"/>
      <c r="P5" s="156"/>
      <c r="Q5" s="167"/>
      <c r="R5" s="168"/>
      <c r="S5" s="169"/>
    </row>
    <row r="6" spans="1:19" x14ac:dyDescent="0.25">
      <c r="B6" s="161"/>
      <c r="C6" s="154"/>
      <c r="E6" s="155"/>
      <c r="F6" s="155" t="s">
        <v>12</v>
      </c>
      <c r="G6" s="155" t="s">
        <v>12</v>
      </c>
      <c r="H6" s="155" t="s">
        <v>12</v>
      </c>
      <c r="I6" s="155" t="s">
        <v>11</v>
      </c>
      <c r="J6" s="155" t="s">
        <v>13</v>
      </c>
      <c r="K6" s="155" t="s">
        <v>14</v>
      </c>
      <c r="L6" s="155" t="s">
        <v>14</v>
      </c>
      <c r="M6" s="155" t="s">
        <v>15</v>
      </c>
      <c r="N6" s="155" t="s">
        <v>11</v>
      </c>
      <c r="O6" s="155"/>
      <c r="P6" s="156"/>
      <c r="Q6" s="167"/>
      <c r="R6" s="168"/>
      <c r="S6" s="169"/>
    </row>
    <row r="7" spans="1:19" x14ac:dyDescent="0.25">
      <c r="B7" s="161"/>
      <c r="C7" s="154"/>
      <c r="E7" s="1"/>
      <c r="F7" s="1">
        <v>2500</v>
      </c>
      <c r="G7" s="2">
        <v>32</v>
      </c>
      <c r="H7" s="2">
        <v>16</v>
      </c>
      <c r="I7" s="1">
        <v>7.5</v>
      </c>
      <c r="J7" s="1">
        <v>280</v>
      </c>
      <c r="K7" s="1">
        <v>4200</v>
      </c>
      <c r="L7" s="1">
        <v>4200</v>
      </c>
      <c r="M7" s="3">
        <v>32</v>
      </c>
      <c r="N7" s="1">
        <v>20</v>
      </c>
      <c r="O7" s="155"/>
      <c r="P7" s="156"/>
      <c r="Q7" s="167"/>
      <c r="R7" s="168"/>
      <c r="S7" s="169"/>
    </row>
    <row r="8" spans="1:19" x14ac:dyDescent="0.25">
      <c r="B8" s="162"/>
      <c r="C8" s="157"/>
      <c r="E8" s="158"/>
      <c r="F8" s="13">
        <f>F7/10</f>
        <v>250</v>
      </c>
      <c r="G8" s="13">
        <f>G7/10</f>
        <v>3.2</v>
      </c>
      <c r="H8" s="13">
        <f>H7/10</f>
        <v>1.6</v>
      </c>
      <c r="I8" s="158"/>
      <c r="J8" s="158"/>
      <c r="K8" s="158"/>
      <c r="L8" s="158"/>
      <c r="M8" s="158"/>
      <c r="N8" s="158"/>
      <c r="O8" s="158"/>
      <c r="P8" s="159"/>
      <c r="Q8" s="170"/>
      <c r="R8" s="171"/>
      <c r="S8" s="172"/>
    </row>
    <row r="9" spans="1:19" x14ac:dyDescent="0.25">
      <c r="B9" s="160">
        <v>1</v>
      </c>
      <c r="C9" s="151"/>
      <c r="D9" s="26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3"/>
      <c r="Q9" s="151"/>
      <c r="R9" s="152"/>
      <c r="S9" s="153"/>
    </row>
    <row r="10" spans="1:19" x14ac:dyDescent="0.25">
      <c r="B10" s="161"/>
      <c r="C10" s="154"/>
      <c r="D10" s="27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6"/>
      <c r="Q10" s="16"/>
      <c r="R10" s="212"/>
      <c r="S10" s="19"/>
    </row>
    <row r="11" spans="1:19" x14ac:dyDescent="0.25">
      <c r="B11" s="161"/>
      <c r="C11" s="154"/>
      <c r="D11" s="27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16"/>
      <c r="R11" s="212"/>
      <c r="S11" s="19"/>
    </row>
    <row r="12" spans="1:19" x14ac:dyDescent="0.25">
      <c r="B12" s="161"/>
      <c r="C12" s="154"/>
      <c r="D12" s="27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6"/>
      <c r="Q12" s="5" t="s">
        <v>33</v>
      </c>
      <c r="R12" s="20">
        <f>MIN(R13,R14)</f>
        <v>10.7</v>
      </c>
      <c r="S12" s="156" t="s">
        <v>1</v>
      </c>
    </row>
    <row r="13" spans="1:19" x14ac:dyDescent="0.25">
      <c r="B13" s="161"/>
      <c r="C13" s="154"/>
      <c r="D13" s="27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6"/>
      <c r="Q13" s="5" t="s">
        <v>34</v>
      </c>
      <c r="R13" s="20">
        <f>G8/2+I7+H8</f>
        <v>10.7</v>
      </c>
      <c r="S13" s="156" t="s">
        <v>11</v>
      </c>
    </row>
    <row r="14" spans="1:19" x14ac:dyDescent="0.25">
      <c r="B14" s="161"/>
      <c r="C14" s="154"/>
      <c r="D14" s="27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6"/>
      <c r="Q14" s="5" t="s">
        <v>73</v>
      </c>
      <c r="R14" s="20">
        <f>F8 * PI() / M7 / 2</f>
        <v>12.271846303085129</v>
      </c>
      <c r="S14" s="156" t="s">
        <v>1</v>
      </c>
    </row>
    <row r="15" spans="1:19" x14ac:dyDescent="0.25">
      <c r="B15" s="161"/>
      <c r="C15" s="154"/>
      <c r="D15" s="27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6"/>
      <c r="Q15" s="154"/>
      <c r="R15" s="155"/>
      <c r="S15" s="156"/>
    </row>
    <row r="16" spans="1:19" x14ac:dyDescent="0.25">
      <c r="B16" s="161"/>
      <c r="C16" s="154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6"/>
      <c r="Q16" s="9" t="s">
        <v>61</v>
      </c>
      <c r="R16" s="20">
        <f>G8/2+I7+H8</f>
        <v>10.7</v>
      </c>
      <c r="S16" s="156" t="s">
        <v>1</v>
      </c>
    </row>
    <row r="17" spans="2:19" x14ac:dyDescent="0.25">
      <c r="B17" s="161"/>
      <c r="C17" s="154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  <c r="Q17" s="9" t="s">
        <v>60</v>
      </c>
      <c r="R17" s="20">
        <f>F8 * PI() / M7 / 2</f>
        <v>12.271846303085129</v>
      </c>
      <c r="S17" s="156" t="s">
        <v>1</v>
      </c>
    </row>
    <row r="18" spans="2:19" x14ac:dyDescent="0.25">
      <c r="B18" s="161"/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6"/>
      <c r="Q18" s="5"/>
      <c r="R18" s="155" t="str">
        <f>IF(R17&lt;R16,"屬水平式劈裂","屬垂直式劈裂")</f>
        <v>屬垂直式劈裂</v>
      </c>
      <c r="S18" s="156"/>
    </row>
    <row r="19" spans="2:19" x14ac:dyDescent="0.25">
      <c r="B19" s="161"/>
      <c r="C19" s="154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6"/>
      <c r="Q19" s="154"/>
      <c r="R19" s="155"/>
      <c r="S19" s="156"/>
    </row>
    <row r="20" spans="2:19" x14ac:dyDescent="0.25">
      <c r="B20" s="162"/>
      <c r="C20" s="157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/>
      <c r="Q20" s="157"/>
      <c r="R20" s="158"/>
      <c r="S20" s="159"/>
    </row>
    <row r="21" spans="2:19" x14ac:dyDescent="0.25">
      <c r="B21" s="160">
        <v>2</v>
      </c>
      <c r="C21" s="151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3"/>
      <c r="Q21" s="151"/>
      <c r="R21" s="152"/>
      <c r="S21" s="153"/>
    </row>
    <row r="22" spans="2:19" x14ac:dyDescent="0.25">
      <c r="B22" s="161"/>
      <c r="C22" s="154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6"/>
      <c r="Q22" s="5" t="s">
        <v>22</v>
      </c>
      <c r="R22" s="155"/>
      <c r="S22" s="156"/>
    </row>
    <row r="23" spans="2:19" ht="21" x14ac:dyDescent="0.25">
      <c r="B23" s="161"/>
      <c r="C23" s="154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6"/>
      <c r="Q23" s="5" t="s">
        <v>50</v>
      </c>
      <c r="R23" s="20">
        <f>2*PI()*H8^2/4</f>
        <v>4.0212385965949355</v>
      </c>
      <c r="S23" s="156" t="s">
        <v>24</v>
      </c>
    </row>
    <row r="24" spans="2:19" x14ac:dyDescent="0.25">
      <c r="B24" s="161"/>
      <c r="C24" s="154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6"/>
      <c r="Q24" s="5" t="s">
        <v>25</v>
      </c>
      <c r="R24" s="20">
        <f>R23*L7/105/N7/M7</f>
        <v>0.25132741228718347</v>
      </c>
      <c r="S24" s="156" t="s">
        <v>1</v>
      </c>
    </row>
    <row r="25" spans="2:19" x14ac:dyDescent="0.25">
      <c r="B25" s="161"/>
      <c r="C25" s="154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6"/>
      <c r="Q25" s="5"/>
      <c r="S25" s="156"/>
    </row>
    <row r="26" spans="2:19" x14ac:dyDescent="0.25">
      <c r="B26" s="161"/>
      <c r="C26" s="154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6"/>
      <c r="Q26" s="5" t="s">
        <v>23</v>
      </c>
      <c r="R26" s="14"/>
      <c r="S26" s="15"/>
    </row>
    <row r="27" spans="2:19" ht="21" x14ac:dyDescent="0.25">
      <c r="B27" s="161"/>
      <c r="C27" s="154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6"/>
      <c r="Q27" s="5" t="s">
        <v>51</v>
      </c>
      <c r="R27" s="20">
        <f>PI()*H8^2/4</f>
        <v>2.0106192982974678</v>
      </c>
      <c r="S27" s="156" t="s">
        <v>24</v>
      </c>
    </row>
    <row r="28" spans="2:19" x14ac:dyDescent="0.25">
      <c r="B28" s="161"/>
      <c r="C28" s="154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6"/>
      <c r="Q28" s="5" t="s">
        <v>35</v>
      </c>
      <c r="R28" s="20">
        <f>R27*L7/105/N7</f>
        <v>4.0212385965949355</v>
      </c>
      <c r="S28" s="156" t="s">
        <v>1</v>
      </c>
    </row>
    <row r="29" spans="2:19" x14ac:dyDescent="0.25">
      <c r="B29" s="161"/>
      <c r="C29" s="154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6"/>
      <c r="Q29" s="5"/>
      <c r="R29" s="20"/>
      <c r="S29" s="15"/>
    </row>
    <row r="30" spans="2:19" x14ac:dyDescent="0.25">
      <c r="B30" s="161"/>
      <c r="C30" s="154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6"/>
      <c r="Q30" s="16" t="str">
        <f>IF(R14&lt;R13,"水平式劈裂 Ktr =","垂直式劈裂 Ktr =")</f>
        <v>垂直式劈裂 Ktr =</v>
      </c>
      <c r="R30" s="18">
        <f>IF(R14&lt;R13,2*PI()*H8^2/4*L7/105/N7/M7,PI()*H8^2/4*L7/105/N7)</f>
        <v>4.0212385965949355</v>
      </c>
      <c r="S30" s="19" t="s">
        <v>1</v>
      </c>
    </row>
    <row r="31" spans="2:19" x14ac:dyDescent="0.25">
      <c r="B31" s="161"/>
      <c r="C31" s="154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6"/>
      <c r="Q31" s="5"/>
      <c r="R31" s="20"/>
      <c r="S31" s="156"/>
    </row>
    <row r="32" spans="2:19" ht="21.75" x14ac:dyDescent="0.25">
      <c r="B32" s="161"/>
      <c r="C32" s="154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6"/>
      <c r="Q32" s="5" t="s">
        <v>54</v>
      </c>
      <c r="R32" s="6">
        <f>IF(G8/(R12+R30)&lt;0.4,0.4,G8/(R12+R30))</f>
        <v>0.4</v>
      </c>
      <c r="S32" s="156"/>
    </row>
    <row r="33" spans="2:19" x14ac:dyDescent="0.25">
      <c r="B33" s="161"/>
      <c r="C33" s="154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6"/>
      <c r="Q33" s="154"/>
      <c r="R33" s="155"/>
      <c r="S33" s="156"/>
    </row>
    <row r="34" spans="2:19" x14ac:dyDescent="0.25">
      <c r="B34" s="162"/>
      <c r="C34" s="157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9"/>
      <c r="Q34" s="157"/>
      <c r="R34" s="158"/>
      <c r="S34" s="159"/>
    </row>
    <row r="35" spans="2:19" x14ac:dyDescent="0.25">
      <c r="B35" s="160">
        <v>3</v>
      </c>
      <c r="C35" s="151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3"/>
      <c r="Q35" s="151"/>
      <c r="R35" s="152"/>
      <c r="S35" s="153"/>
    </row>
    <row r="36" spans="2:19" x14ac:dyDescent="0.25">
      <c r="B36" s="161"/>
      <c r="C36" s="154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6"/>
      <c r="Q36" s="154"/>
      <c r="R36" s="155"/>
      <c r="S36" s="156"/>
    </row>
    <row r="37" spans="2:19" ht="21" x14ac:dyDescent="0.25">
      <c r="B37" s="161"/>
      <c r="C37" s="154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6"/>
      <c r="Q37" s="5" t="s">
        <v>75</v>
      </c>
      <c r="R37" s="20">
        <f>0.28*K7*G8/SQRT(J7)</f>
        <v>224.89421513235951</v>
      </c>
      <c r="S37" s="156" t="s">
        <v>1</v>
      </c>
    </row>
    <row r="38" spans="2:19" x14ac:dyDescent="0.25">
      <c r="B38" s="161"/>
      <c r="C38" s="154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6"/>
      <c r="Q38" s="5"/>
      <c r="R38" s="20"/>
      <c r="S38" s="156"/>
    </row>
    <row r="39" spans="2:19" x14ac:dyDescent="0.25">
      <c r="B39" s="161"/>
      <c r="C39" s="154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6"/>
      <c r="Q39" s="5" t="s">
        <v>38</v>
      </c>
      <c r="R39" s="6">
        <f>R51*R55*R61*R66*R32</f>
        <v>0.52</v>
      </c>
      <c r="S39" s="156"/>
    </row>
    <row r="40" spans="2:19" x14ac:dyDescent="0.25">
      <c r="B40" s="161"/>
      <c r="C40" s="154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6"/>
      <c r="Q40" s="5" t="s">
        <v>41</v>
      </c>
      <c r="R40" s="6">
        <f>R52*R55*R61*R66*R32</f>
        <v>0.4</v>
      </c>
      <c r="S40" s="156"/>
    </row>
    <row r="41" spans="2:19" x14ac:dyDescent="0.25">
      <c r="B41" s="161"/>
      <c r="C41" s="154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6"/>
      <c r="Q41" s="5"/>
      <c r="R41" s="155"/>
      <c r="S41" s="169"/>
    </row>
    <row r="42" spans="2:19" x14ac:dyDescent="0.25">
      <c r="B42" s="161"/>
      <c r="C42" s="154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6"/>
      <c r="Q42" s="5"/>
      <c r="R42" s="14"/>
      <c r="S42" s="169"/>
    </row>
    <row r="43" spans="2:19" x14ac:dyDescent="0.25">
      <c r="B43" s="161"/>
      <c r="C43" s="154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6"/>
      <c r="Q43" s="5"/>
      <c r="R43" s="20"/>
      <c r="S43" s="156"/>
    </row>
    <row r="44" spans="2:19" x14ac:dyDescent="0.25">
      <c r="B44" s="161"/>
      <c r="C44" s="154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6"/>
      <c r="Q44" s="5" t="s">
        <v>56</v>
      </c>
      <c r="R44" s="20">
        <f>R37*R40</f>
        <v>89.957686052943814</v>
      </c>
      <c r="S44" s="156" t="s">
        <v>1</v>
      </c>
    </row>
    <row r="45" spans="2:19" x14ac:dyDescent="0.25">
      <c r="B45" s="161"/>
      <c r="C45" s="154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6"/>
      <c r="Q45" s="154"/>
      <c r="R45" s="155"/>
      <c r="S45" s="156"/>
    </row>
    <row r="46" spans="2:19" x14ac:dyDescent="0.25">
      <c r="B46" s="161"/>
      <c r="C46" s="154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6"/>
      <c r="Q46" s="154"/>
      <c r="R46" s="155"/>
      <c r="S46" s="156"/>
    </row>
    <row r="47" spans="2:19" ht="37.5" x14ac:dyDescent="0.25">
      <c r="B47" s="161"/>
      <c r="C47" s="154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6"/>
      <c r="Q47" s="7" t="s">
        <v>17</v>
      </c>
      <c r="R47" s="155"/>
      <c r="S47" s="156"/>
    </row>
    <row r="48" spans="2:19" x14ac:dyDescent="0.25">
      <c r="B48" s="161"/>
      <c r="C48" s="154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6"/>
      <c r="Q48" s="8"/>
      <c r="R48" s="155"/>
      <c r="S48" s="156"/>
    </row>
    <row r="49" spans="2:19" x14ac:dyDescent="0.25">
      <c r="B49" s="161"/>
      <c r="C49" s="154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6"/>
      <c r="Q49" s="8"/>
      <c r="R49" s="155"/>
      <c r="S49" s="156"/>
    </row>
    <row r="50" spans="2:19" x14ac:dyDescent="0.25">
      <c r="B50" s="161"/>
      <c r="C50" s="154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6"/>
      <c r="Q50" s="8" t="s">
        <v>37</v>
      </c>
      <c r="R50" s="155"/>
      <c r="S50" s="156"/>
    </row>
    <row r="51" spans="2:19" x14ac:dyDescent="0.25">
      <c r="B51" s="161"/>
      <c r="C51" s="154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6"/>
      <c r="Q51" s="23" t="s">
        <v>39</v>
      </c>
      <c r="R51" s="22">
        <v>1.3</v>
      </c>
      <c r="S51" s="156"/>
    </row>
    <row r="52" spans="2:19" x14ac:dyDescent="0.25">
      <c r="B52" s="161"/>
      <c r="C52" s="154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6"/>
      <c r="Q52" s="23" t="s">
        <v>40</v>
      </c>
      <c r="R52" s="21">
        <v>1</v>
      </c>
      <c r="S52" s="156"/>
    </row>
    <row r="53" spans="2:19" x14ac:dyDescent="0.25">
      <c r="B53" s="161"/>
      <c r="C53" s="154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6"/>
      <c r="Q53" s="8"/>
      <c r="R53" s="155"/>
      <c r="S53" s="156"/>
    </row>
    <row r="54" spans="2:19" x14ac:dyDescent="0.25">
      <c r="B54" s="161"/>
      <c r="C54" s="154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6"/>
      <c r="Q54" s="8"/>
      <c r="R54" s="155"/>
      <c r="S54" s="156"/>
    </row>
    <row r="55" spans="2:19" x14ac:dyDescent="0.25">
      <c r="B55" s="161"/>
      <c r="C55" s="154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6"/>
      <c r="Q55" s="8" t="s">
        <v>18</v>
      </c>
      <c r="R55" s="21">
        <v>1</v>
      </c>
      <c r="S55" s="156"/>
    </row>
    <row r="56" spans="2:19" x14ac:dyDescent="0.25">
      <c r="B56" s="161"/>
      <c r="C56" s="154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6"/>
      <c r="Q56" s="8"/>
      <c r="R56" s="22"/>
      <c r="S56" s="156"/>
    </row>
    <row r="57" spans="2:19" x14ac:dyDescent="0.25">
      <c r="B57" s="161"/>
      <c r="C57" s="154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6"/>
      <c r="Q57" s="8"/>
      <c r="R57" s="22"/>
      <c r="S57" s="156"/>
    </row>
    <row r="58" spans="2:19" x14ac:dyDescent="0.25">
      <c r="B58" s="161"/>
      <c r="C58" s="154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6"/>
      <c r="Q58" s="8"/>
      <c r="R58" s="22"/>
      <c r="S58" s="156"/>
    </row>
    <row r="59" spans="2:19" x14ac:dyDescent="0.25">
      <c r="B59" s="161"/>
      <c r="C59" s="154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6"/>
      <c r="Q59" s="8"/>
      <c r="R59" s="22"/>
      <c r="S59" s="156"/>
    </row>
    <row r="60" spans="2:19" x14ac:dyDescent="0.25">
      <c r="B60" s="161"/>
      <c r="C60" s="154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6"/>
      <c r="Q60" s="8"/>
      <c r="R60" s="22"/>
      <c r="S60" s="156"/>
    </row>
    <row r="61" spans="2:19" x14ac:dyDescent="0.25">
      <c r="B61" s="161"/>
      <c r="C61" s="154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6"/>
      <c r="Q61" s="8" t="str">
        <f>IF(G8&gt;2.2,"(3) D22或較大之鋼筋       ==&gt; ψs = 1.0","(3) D19或較小之鋼筋及麻面鋼線       ==&gt; ψs = 0.8")</f>
        <v>(3) D22或較大之鋼筋       ==&gt; ψs = 1.0</v>
      </c>
      <c r="R61" s="21">
        <f>IF(G8&gt;2,1,0.8)</f>
        <v>1</v>
      </c>
      <c r="S61" s="156"/>
    </row>
    <row r="62" spans="2:19" x14ac:dyDescent="0.25">
      <c r="B62" s="161"/>
      <c r="C62" s="154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6"/>
      <c r="Q62" s="8"/>
      <c r="R62" s="22"/>
      <c r="S62" s="156"/>
    </row>
    <row r="63" spans="2:19" x14ac:dyDescent="0.25">
      <c r="B63" s="161"/>
      <c r="C63" s="154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6"/>
      <c r="Q63" s="8"/>
      <c r="R63" s="22"/>
      <c r="S63" s="156"/>
    </row>
    <row r="64" spans="2:19" x14ac:dyDescent="0.25">
      <c r="B64" s="161"/>
      <c r="C64" s="154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6"/>
      <c r="Q64" s="8"/>
      <c r="R64" s="22"/>
      <c r="S64" s="156"/>
    </row>
    <row r="65" spans="2:20" x14ac:dyDescent="0.25">
      <c r="B65" s="161"/>
      <c r="C65" s="154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6"/>
      <c r="Q65" s="8"/>
      <c r="R65" s="22"/>
      <c r="S65" s="156"/>
    </row>
    <row r="66" spans="2:20" x14ac:dyDescent="0.25">
      <c r="B66" s="161"/>
      <c r="C66" s="154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6"/>
      <c r="Q66" s="8" t="s">
        <v>36</v>
      </c>
      <c r="R66" s="21">
        <v>1</v>
      </c>
      <c r="S66" s="156"/>
    </row>
    <row r="67" spans="2:20" x14ac:dyDescent="0.25">
      <c r="B67" s="161"/>
      <c r="C67" s="154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6"/>
      <c r="Q67" s="154"/>
      <c r="R67" s="155"/>
      <c r="S67" s="156"/>
    </row>
    <row r="68" spans="2:20" x14ac:dyDescent="0.25">
      <c r="B68" s="161"/>
      <c r="C68" s="154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6"/>
      <c r="Q68" s="154"/>
      <c r="R68" s="155"/>
      <c r="S68" s="156"/>
    </row>
    <row r="69" spans="2:20" x14ac:dyDescent="0.25">
      <c r="B69" s="161"/>
      <c r="C69" s="154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6"/>
      <c r="Q69" s="154"/>
      <c r="R69" s="155"/>
      <c r="S69" s="156"/>
    </row>
    <row r="70" spans="2:20" x14ac:dyDescent="0.25">
      <c r="B70" s="161"/>
      <c r="C70" s="154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6"/>
      <c r="Q70" s="154"/>
      <c r="R70" s="155"/>
      <c r="S70" s="156"/>
    </row>
    <row r="71" spans="2:20" x14ac:dyDescent="0.25">
      <c r="B71" s="162"/>
      <c r="C71" s="157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9"/>
      <c r="Q71" s="157"/>
      <c r="R71" s="158"/>
      <c r="S71" s="159"/>
    </row>
    <row r="72" spans="2:20" x14ac:dyDescent="0.25">
      <c r="B72" s="160">
        <v>4</v>
      </c>
      <c r="C72" s="154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6"/>
      <c r="Q72" s="151"/>
      <c r="R72" s="152"/>
      <c r="S72" s="153"/>
    </row>
    <row r="73" spans="2:20" x14ac:dyDescent="0.25">
      <c r="B73" s="161"/>
      <c r="C73" s="154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6"/>
      <c r="Q73" s="5"/>
      <c r="R73" s="155"/>
      <c r="S73" s="156"/>
    </row>
    <row r="74" spans="2:20" x14ac:dyDescent="0.25">
      <c r="B74" s="161"/>
      <c r="C74" s="15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6"/>
      <c r="Q74" s="9"/>
      <c r="R74" s="213"/>
      <c r="S74" s="156"/>
    </row>
    <row r="75" spans="2:20" x14ac:dyDescent="0.25">
      <c r="B75" s="161"/>
      <c r="C75" s="154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6"/>
      <c r="Q75" s="5" t="s">
        <v>58</v>
      </c>
      <c r="R75" s="10">
        <f>ROUNDUP(MAX(R44*1.3,30),0)</f>
        <v>117</v>
      </c>
      <c r="S75" s="156" t="s">
        <v>1</v>
      </c>
    </row>
    <row r="76" spans="2:20" x14ac:dyDescent="0.25">
      <c r="B76" s="161"/>
      <c r="C76" s="154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6"/>
      <c r="Q76" s="5"/>
      <c r="R76" s="155"/>
      <c r="S76" s="156"/>
    </row>
    <row r="77" spans="2:20" x14ac:dyDescent="0.25">
      <c r="B77" s="161"/>
      <c r="C77" s="154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6"/>
      <c r="Q77" s="5"/>
      <c r="R77" s="155"/>
      <c r="S77" s="156"/>
    </row>
    <row r="78" spans="2:20" x14ac:dyDescent="0.25">
      <c r="B78" s="161"/>
      <c r="C78" s="154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6"/>
      <c r="Q78" s="154"/>
      <c r="R78" s="155"/>
      <c r="S78" s="156"/>
    </row>
    <row r="79" spans="2:20" x14ac:dyDescent="0.25">
      <c r="B79" s="161"/>
      <c r="C79" s="154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6"/>
      <c r="Q79" s="154"/>
      <c r="R79" s="155"/>
      <c r="S79" s="156"/>
      <c r="T79" s="155"/>
    </row>
    <row r="80" spans="2:20" x14ac:dyDescent="0.25">
      <c r="B80" s="161"/>
      <c r="C80" s="154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6"/>
      <c r="Q80" s="154"/>
      <c r="R80" s="155"/>
      <c r="S80" s="156"/>
      <c r="T80" s="155"/>
    </row>
    <row r="81" spans="2:20" x14ac:dyDescent="0.25">
      <c r="B81" s="161"/>
      <c r="C81" s="154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6"/>
      <c r="Q81" s="154"/>
      <c r="R81" s="155"/>
      <c r="S81" s="156"/>
      <c r="T81" s="155"/>
    </row>
    <row r="82" spans="2:20" x14ac:dyDescent="0.25">
      <c r="B82" s="161"/>
      <c r="C82" s="154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6"/>
      <c r="Q82" s="154"/>
      <c r="R82" s="155"/>
      <c r="S82" s="156"/>
      <c r="T82" s="155"/>
    </row>
    <row r="83" spans="2:20" x14ac:dyDescent="0.25">
      <c r="B83" s="161"/>
      <c r="C83" s="154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6"/>
      <c r="Q83" s="154"/>
      <c r="R83" s="155"/>
      <c r="S83" s="156"/>
      <c r="T83" s="155"/>
    </row>
    <row r="84" spans="2:20" x14ac:dyDescent="0.25">
      <c r="B84" s="161"/>
      <c r="C84" s="154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6"/>
      <c r="Q84" s="154"/>
      <c r="R84" s="155"/>
      <c r="S84" s="156"/>
      <c r="T84" s="155"/>
    </row>
    <row r="85" spans="2:20" x14ac:dyDescent="0.25">
      <c r="B85" s="161"/>
      <c r="C85" s="154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6"/>
      <c r="Q85" s="154"/>
      <c r="R85" s="155"/>
      <c r="S85" s="156"/>
      <c r="T85" s="155"/>
    </row>
    <row r="86" spans="2:20" x14ac:dyDescent="0.25">
      <c r="B86" s="161"/>
      <c r="C86" s="154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6"/>
      <c r="Q86" s="154"/>
      <c r="R86" s="155"/>
      <c r="S86" s="156"/>
      <c r="T86" s="155"/>
    </row>
    <row r="87" spans="2:20" x14ac:dyDescent="0.25">
      <c r="B87" s="161"/>
      <c r="C87" s="154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6"/>
      <c r="Q87" s="154"/>
      <c r="R87" s="155"/>
      <c r="S87" s="156"/>
      <c r="T87" s="155"/>
    </row>
    <row r="88" spans="2:20" x14ac:dyDescent="0.25">
      <c r="B88" s="161"/>
      <c r="C88" s="154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6"/>
      <c r="Q88" s="154"/>
      <c r="R88" s="155"/>
      <c r="S88" s="156"/>
      <c r="T88" s="155"/>
    </row>
    <row r="89" spans="2:20" x14ac:dyDescent="0.25">
      <c r="B89" s="162"/>
      <c r="C89" s="157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9"/>
      <c r="Q89" s="157"/>
      <c r="R89" s="158"/>
      <c r="S89" s="159"/>
    </row>
  </sheetData>
  <mergeCells count="8">
    <mergeCell ref="B72:B89"/>
    <mergeCell ref="B4:B8"/>
    <mergeCell ref="E4:N4"/>
    <mergeCell ref="Q4:S8"/>
    <mergeCell ref="B9:B20"/>
    <mergeCell ref="B21:B34"/>
    <mergeCell ref="B35:B71"/>
    <mergeCell ref="S41:S42"/>
  </mergeCells>
  <phoneticPr fontId="1" type="noConversion"/>
  <pageMargins left="0.11811023622047245" right="0.70866141732283472" top="0.74803149606299213" bottom="0.74803149606299213" header="0.31496062992125984" footer="0.31496062992125984"/>
  <pageSetup paperSize="8" scale="3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9">
    <tabColor rgb="FFFFC000"/>
    <pageSetUpPr fitToPage="1"/>
  </sheetPr>
  <dimension ref="B2:S30"/>
  <sheetViews>
    <sheetView workbookViewId="0">
      <selection activeCell="Q22" sqref="Q22"/>
    </sheetView>
  </sheetViews>
  <sheetFormatPr defaultColWidth="9" defaultRowHeight="18.75" x14ac:dyDescent="0.25"/>
  <cols>
    <col min="1" max="1" width="10.125" style="49" customWidth="1"/>
    <col min="2" max="2" width="6.125" style="49" customWidth="1"/>
    <col min="3" max="3" width="9" style="49" customWidth="1"/>
    <col min="4" max="5" width="5.875" style="49" bestFit="1" customWidth="1"/>
    <col min="6" max="6" width="10.125" style="49" bestFit="1" customWidth="1"/>
    <col min="7" max="7" width="11.375" style="49" customWidth="1"/>
    <col min="8" max="8" width="9" style="49" customWidth="1"/>
    <col min="9" max="9" width="10.875" style="49" bestFit="1" customWidth="1"/>
    <col min="10" max="11" width="10.125" style="49" bestFit="1" customWidth="1"/>
    <col min="12" max="13" width="10" style="49" bestFit="1" customWidth="1"/>
    <col min="14" max="15" width="9" style="49" customWidth="1"/>
    <col min="16" max="16" width="4.125" style="49" customWidth="1"/>
    <col min="17" max="17" width="91.125" style="49" customWidth="1"/>
    <col min="18" max="18" width="12.625" style="49" bestFit="1" customWidth="1"/>
    <col min="19" max="19" width="7.625" style="49" customWidth="1"/>
    <col min="20" max="16384" width="9" style="49"/>
  </cols>
  <sheetData>
    <row r="2" spans="2:19" x14ac:dyDescent="0.25">
      <c r="B2" s="48" t="s">
        <v>46</v>
      </c>
    </row>
    <row r="4" spans="2:19" ht="17.25" customHeight="1" thickBot="1" x14ac:dyDescent="0.3">
      <c r="B4" s="199"/>
      <c r="C4" s="50"/>
      <c r="D4" s="51"/>
      <c r="E4" s="202" t="s">
        <v>26</v>
      </c>
      <c r="F4" s="202"/>
      <c r="G4" s="202"/>
      <c r="H4" s="202"/>
      <c r="I4" s="202"/>
      <c r="J4" s="202"/>
      <c r="K4" s="202"/>
      <c r="L4" s="202"/>
      <c r="M4" s="202"/>
      <c r="N4" s="202"/>
      <c r="O4" s="51"/>
      <c r="P4" s="52"/>
      <c r="Q4" s="203" t="s">
        <v>16</v>
      </c>
      <c r="R4" s="204"/>
      <c r="S4" s="205"/>
    </row>
    <row r="5" spans="2:19" ht="19.5" thickTop="1" x14ac:dyDescent="0.25">
      <c r="B5" s="200"/>
      <c r="C5" s="53"/>
      <c r="H5" s="49" t="s">
        <v>28</v>
      </c>
      <c r="I5" s="49" t="s">
        <v>29</v>
      </c>
      <c r="J5" s="49" t="s">
        <v>30</v>
      </c>
      <c r="K5" s="49" t="s">
        <v>7</v>
      </c>
      <c r="L5" s="54"/>
      <c r="M5" s="54"/>
      <c r="N5" s="54"/>
      <c r="O5" s="54"/>
      <c r="P5" s="55"/>
      <c r="Q5" s="206"/>
      <c r="R5" s="207"/>
      <c r="S5" s="208"/>
    </row>
    <row r="6" spans="2:19" x14ac:dyDescent="0.25">
      <c r="B6" s="200"/>
      <c r="C6" s="53"/>
      <c r="H6" s="49" t="s">
        <v>31</v>
      </c>
      <c r="I6" s="49" t="s">
        <v>11</v>
      </c>
      <c r="J6" s="49" t="s">
        <v>32</v>
      </c>
      <c r="K6" s="49" t="s">
        <v>14</v>
      </c>
      <c r="L6" s="54"/>
      <c r="M6" s="54"/>
      <c r="N6" s="54"/>
      <c r="O6" s="54"/>
      <c r="P6" s="55"/>
      <c r="Q6" s="206"/>
      <c r="R6" s="207"/>
      <c r="S6" s="208"/>
    </row>
    <row r="7" spans="2:19" x14ac:dyDescent="0.25">
      <c r="B7" s="200"/>
      <c r="C7" s="53"/>
      <c r="H7" s="56">
        <v>12.7</v>
      </c>
      <c r="I7" s="57">
        <v>2</v>
      </c>
      <c r="J7" s="57">
        <v>280</v>
      </c>
      <c r="K7" s="57">
        <v>4200</v>
      </c>
      <c r="L7" s="58"/>
      <c r="M7" s="59"/>
      <c r="N7" s="58"/>
      <c r="O7" s="54"/>
      <c r="P7" s="55"/>
      <c r="Q7" s="206"/>
      <c r="R7" s="207"/>
      <c r="S7" s="208"/>
    </row>
    <row r="8" spans="2:19" x14ac:dyDescent="0.25">
      <c r="B8" s="201"/>
      <c r="C8" s="60"/>
      <c r="H8" s="61">
        <f>H7/10</f>
        <v>1.27</v>
      </c>
      <c r="I8" s="62"/>
      <c r="J8" s="63"/>
      <c r="K8" s="63"/>
      <c r="L8" s="62"/>
      <c r="M8" s="62"/>
      <c r="N8" s="62"/>
      <c r="O8" s="62"/>
      <c r="P8" s="64"/>
      <c r="Q8" s="209"/>
      <c r="R8" s="210"/>
      <c r="S8" s="211"/>
    </row>
    <row r="9" spans="2:19" x14ac:dyDescent="0.25">
      <c r="B9" s="199">
        <v>1</v>
      </c>
      <c r="C9" s="65"/>
      <c r="D9" s="66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7"/>
      <c r="R9" s="65"/>
      <c r="S9" s="68"/>
    </row>
    <row r="10" spans="2:19" x14ac:dyDescent="0.25">
      <c r="B10" s="200"/>
      <c r="C10" s="54"/>
      <c r="D10" s="69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3"/>
      <c r="R10" s="54"/>
      <c r="S10" s="55"/>
    </row>
    <row r="11" spans="2:19" x14ac:dyDescent="0.25">
      <c r="B11" s="200"/>
      <c r="C11" s="54"/>
      <c r="D11" s="69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 t="s">
        <v>27</v>
      </c>
      <c r="Q11" s="53"/>
      <c r="R11" s="54"/>
      <c r="S11" s="55"/>
    </row>
    <row r="12" spans="2:19" x14ac:dyDescent="0.25">
      <c r="B12" s="200"/>
      <c r="C12" s="54"/>
      <c r="D12" s="69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3"/>
      <c r="R12" s="54"/>
      <c r="S12" s="70"/>
    </row>
    <row r="13" spans="2:19" x14ac:dyDescent="0.25">
      <c r="B13" s="200"/>
      <c r="C13" s="54"/>
      <c r="D13" s="69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3"/>
      <c r="R13" s="54"/>
      <c r="S13" s="55"/>
    </row>
    <row r="14" spans="2:19" x14ac:dyDescent="0.25">
      <c r="B14" s="200"/>
      <c r="C14" s="54"/>
      <c r="D14" s="6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71"/>
      <c r="R14" s="72"/>
      <c r="S14" s="55"/>
    </row>
    <row r="15" spans="2:19" x14ac:dyDescent="0.25">
      <c r="B15" s="200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71"/>
      <c r="R15" s="72"/>
      <c r="S15" s="55"/>
    </row>
    <row r="16" spans="2:19" x14ac:dyDescent="0.25">
      <c r="B16" s="200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71"/>
      <c r="R16" s="72"/>
      <c r="S16" s="55"/>
    </row>
    <row r="17" spans="2:19" x14ac:dyDescent="0.25">
      <c r="B17" s="200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73"/>
      <c r="R17" s="54"/>
      <c r="S17" s="55"/>
    </row>
    <row r="18" spans="2:19" x14ac:dyDescent="0.25">
      <c r="B18" s="200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1"/>
      <c r="R18" s="72"/>
      <c r="S18" s="55"/>
    </row>
    <row r="19" spans="2:19" x14ac:dyDescent="0.25">
      <c r="B19" s="200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"/>
      <c r="R19" s="149"/>
      <c r="S19" s="55"/>
    </row>
    <row r="20" spans="2:19" x14ac:dyDescent="0.25">
      <c r="B20" s="200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16" t="s">
        <v>74</v>
      </c>
      <c r="R20" s="18">
        <f>IF(J7&lt;210, IF(K7&gt;4200,1.33*MAX((0.013 * K7 -24 )*H8,30),1.33*MAX(0.0071 * H8*K7,30)), IF(K7&gt;4200,MAX((0.013 * K7 -24 )*H8,30),MAX(0.0071 * H8*K7,30)))</f>
        <v>37.871400000000001</v>
      </c>
      <c r="S20" s="55"/>
    </row>
    <row r="21" spans="2:19" x14ac:dyDescent="0.25">
      <c r="B21" s="200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3"/>
      <c r="R21" s="54"/>
      <c r="S21" s="55"/>
    </row>
    <row r="22" spans="2:19" x14ac:dyDescent="0.25">
      <c r="B22" s="200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3"/>
      <c r="R22" s="54"/>
      <c r="S22" s="55"/>
    </row>
    <row r="23" spans="2:19" x14ac:dyDescent="0.25">
      <c r="B23" s="200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3"/>
      <c r="R23" s="54"/>
      <c r="S23" s="55"/>
    </row>
    <row r="24" spans="2:19" x14ac:dyDescent="0.25">
      <c r="B24" s="200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3"/>
      <c r="R24" s="54"/>
      <c r="S24" s="55"/>
    </row>
    <row r="25" spans="2:19" x14ac:dyDescent="0.25">
      <c r="B25" s="200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3"/>
      <c r="R25" s="54"/>
      <c r="S25" s="55"/>
    </row>
    <row r="26" spans="2:19" x14ac:dyDescent="0.25">
      <c r="B26" s="200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3"/>
      <c r="R26" s="54"/>
      <c r="S26" s="55"/>
    </row>
    <row r="27" spans="2:19" x14ac:dyDescent="0.25">
      <c r="B27" s="200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3"/>
      <c r="R27" s="54"/>
      <c r="S27" s="55"/>
    </row>
    <row r="28" spans="2:19" x14ac:dyDescent="0.25">
      <c r="B28" s="200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3"/>
      <c r="R28" s="54"/>
      <c r="S28" s="55"/>
    </row>
    <row r="29" spans="2:19" x14ac:dyDescent="0.25">
      <c r="B29" s="200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3"/>
      <c r="R29" s="54"/>
      <c r="S29" s="55"/>
    </row>
    <row r="30" spans="2:19" x14ac:dyDescent="0.25">
      <c r="B30" s="20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0"/>
      <c r="R30" s="62"/>
      <c r="S30" s="64"/>
    </row>
  </sheetData>
  <mergeCells count="4">
    <mergeCell ref="B9:B30"/>
    <mergeCell ref="B4:B8"/>
    <mergeCell ref="E4:N4"/>
    <mergeCell ref="Q4:S8"/>
  </mergeCells>
  <phoneticPr fontId="1" type="noConversion"/>
  <pageMargins left="0.11811023622047245" right="0.70866141732283472" top="0.74803149606299213" bottom="0.74803149606299213" header="0.31496062992125984" footer="0.31496062992125984"/>
  <pageSetup paperSize="8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算例 - 大梁 </vt:lpstr>
      <vt:lpstr>算例 - 地梁  </vt:lpstr>
      <vt:lpstr>算例 - 小梁</vt:lpstr>
      <vt:lpstr>算例 - 版與一般牆</vt:lpstr>
      <vt:lpstr>算例 - 基樁</vt:lpstr>
      <vt:lpstr>算例- 版壓力搭接</vt:lpstr>
      <vt:lpstr>'算例- 版壓力搭接'!Print_Area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bohao6</cp:lastModifiedBy>
  <cp:lastPrinted>2017-08-20T15:28:50Z</cp:lastPrinted>
  <dcterms:created xsi:type="dcterms:W3CDTF">2016-12-01T06:52:35Z</dcterms:created>
  <dcterms:modified xsi:type="dcterms:W3CDTF">2018-08-24T04:26:07Z</dcterms:modified>
</cp:coreProperties>
</file>