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"/>
    </mc:Choice>
  </mc:AlternateContent>
  <xr:revisionPtr revIDLastSave="0" documentId="13_ncr:1_{ADF91A5A-34D3-497C-A944-63C7A0971243}" xr6:coauthVersionLast="33" xr6:coauthVersionMax="33" xr10:uidLastSave="{00000000-0000-0000-0000-000000000000}"/>
  <bookViews>
    <workbookView xWindow="240" yWindow="30" windowWidth="15015" windowHeight="7965" firstSheet="5" activeTab="7" xr2:uid="{00000000-000D-0000-FFFF-FFFF00000000}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  <sheet name="工作表3" sheetId="15" r:id="rId13"/>
    <sheet name="工作表4" sheetId="16" r:id="rId14"/>
  </sheets>
  <definedNames>
    <definedName name="縣市">#REF!</definedName>
  </definedNames>
  <calcPr calcId="179017"/>
</workbook>
</file>

<file path=xl/calcChain.xml><?xml version="1.0" encoding="utf-8"?>
<calcChain xmlns="http://schemas.openxmlformats.org/spreadsheetml/2006/main">
  <c r="K12" i="11" l="1"/>
  <c r="K13" i="11"/>
  <c r="K14" i="11"/>
  <c r="K11" i="11"/>
  <c r="I20" i="15" l="1"/>
  <c r="J26" i="15" s="1"/>
  <c r="J25" i="15" l="1"/>
  <c r="J24" i="15"/>
  <c r="J27" i="15"/>
  <c r="G2" i="11"/>
  <c r="M14" i="12" l="1"/>
  <c r="M15" i="12"/>
  <c r="M16" i="12"/>
  <c r="M13" i="12"/>
  <c r="L14" i="12"/>
  <c r="L15" i="12"/>
  <c r="L16" i="12"/>
  <c r="L13" i="12"/>
  <c r="S14" i="10" l="1"/>
  <c r="S13" i="10"/>
  <c r="P47" i="11"/>
  <c r="P46" i="11"/>
  <c r="E28" i="11"/>
  <c r="E27" i="11"/>
  <c r="E26" i="11"/>
  <c r="E25" i="11"/>
  <c r="E24" i="11"/>
  <c r="E23" i="11"/>
  <c r="G7" i="10" l="1"/>
  <c r="G6" i="10"/>
  <c r="G5" i="10"/>
  <c r="G4" i="10"/>
  <c r="G3" i="10"/>
  <c r="G2" i="10"/>
  <c r="O64" i="10" s="1"/>
  <c r="T79" i="10"/>
  <c r="T80" i="10" s="1"/>
  <c r="V79" i="10"/>
  <c r="V80" i="10" s="1"/>
  <c r="X79" i="10"/>
  <c r="X80" i="10" s="1"/>
  <c r="Z79" i="10"/>
  <c r="Z80" i="10" s="1"/>
  <c r="N6" i="10"/>
  <c r="AD17" i="10"/>
  <c r="AB17" i="10"/>
  <c r="Z17" i="10"/>
  <c r="X17" i="10"/>
  <c r="AD15" i="10"/>
  <c r="AB15" i="10"/>
  <c r="Z15" i="10"/>
  <c r="X15" i="10"/>
  <c r="S18" i="10"/>
  <c r="S17" i="10"/>
  <c r="S16" i="10"/>
  <c r="S15" i="10"/>
  <c r="H4" i="10"/>
  <c r="H3" i="10"/>
  <c r="E1" i="11"/>
  <c r="E53" i="11"/>
  <c r="E54" i="11"/>
  <c r="E57" i="11" s="1"/>
  <c r="E55" i="11"/>
  <c r="E58" i="11" s="1"/>
  <c r="E56" i="11"/>
  <c r="E59" i="11"/>
  <c r="E61" i="11" s="1"/>
  <c r="E60" i="11"/>
  <c r="E62" i="11"/>
  <c r="E63" i="11"/>
  <c r="E64" i="11"/>
  <c r="E65" i="11"/>
  <c r="E66" i="11"/>
  <c r="E67" i="11"/>
  <c r="E68" i="11"/>
  <c r="E69" i="11"/>
  <c r="E70" i="11"/>
  <c r="E83" i="11"/>
  <c r="E84" i="11"/>
  <c r="E87" i="11" s="1"/>
  <c r="E85" i="11"/>
  <c r="E88" i="11" s="1"/>
  <c r="E86" i="11"/>
  <c r="E89" i="11"/>
  <c r="E91" i="11" s="1"/>
  <c r="E90" i="11"/>
  <c r="E92" i="11"/>
  <c r="E93" i="11"/>
  <c r="E94" i="11"/>
  <c r="E95" i="11"/>
  <c r="E96" i="11"/>
  <c r="E97" i="11"/>
  <c r="E98" i="11"/>
  <c r="E99" i="11"/>
  <c r="E100" i="11"/>
  <c r="P48" i="11" l="1"/>
  <c r="G3" i="11"/>
  <c r="G4" i="11"/>
  <c r="D25" i="11" s="1"/>
  <c r="G5" i="11"/>
  <c r="D26" i="11" s="1"/>
  <c r="G6" i="11"/>
  <c r="D27" i="11" s="1"/>
  <c r="G7" i="11"/>
  <c r="D28" i="11" s="1"/>
  <c r="D24" i="11" s="1"/>
  <c r="D23" i="11" l="1"/>
  <c r="M6" i="11"/>
  <c r="F25" i="11" l="1"/>
  <c r="F26" i="11"/>
  <c r="F27" i="11"/>
  <c r="F28" i="11"/>
  <c r="L59" i="11"/>
  <c r="M59" i="11" s="1"/>
  <c r="L89" i="11"/>
  <c r="M89" i="11" s="1"/>
  <c r="L90" i="11"/>
  <c r="M90" i="11" s="1"/>
  <c r="L58" i="11"/>
  <c r="M58" i="11" s="1"/>
  <c r="F15" i="11" l="1"/>
  <c r="E36" i="10" l="1"/>
  <c r="E34" i="10"/>
  <c r="B100" i="11" l="1"/>
  <c r="B99" i="11"/>
  <c r="B70" i="11"/>
  <c r="B69" i="11"/>
  <c r="B62" i="11"/>
  <c r="B59" i="11"/>
  <c r="B61" i="11" s="1"/>
  <c r="B99" i="10" l="1"/>
  <c r="B101" i="10"/>
  <c r="Q51" i="10"/>
  <c r="M2" i="10"/>
  <c r="B30" i="10"/>
  <c r="E31" i="10"/>
  <c r="E32" i="10"/>
  <c r="B31" i="10"/>
  <c r="O83" i="10" l="1"/>
  <c r="O84" i="10"/>
  <c r="O54" i="10"/>
  <c r="O53" i="10"/>
  <c r="O27" i="10"/>
  <c r="Q27" i="10" s="1"/>
  <c r="O26" i="10"/>
  <c r="Q26" i="10" s="1"/>
  <c r="B93" i="11"/>
  <c r="R48" i="11"/>
  <c r="P50" i="11"/>
  <c r="R50" i="11"/>
  <c r="B65" i="11" l="1"/>
  <c r="B63" i="11" l="1"/>
  <c r="B56" i="11"/>
  <c r="B55" i="11"/>
  <c r="B54" i="11"/>
  <c r="B57" i="11" s="1"/>
  <c r="B53" i="11"/>
  <c r="F14" i="11"/>
  <c r="L61" i="11" l="1"/>
  <c r="M61" i="11" s="1"/>
  <c r="L60" i="11"/>
  <c r="M60" i="11" s="1"/>
  <c r="B25" i="11"/>
  <c r="G14" i="11"/>
  <c r="B58" i="11"/>
  <c r="J25" i="11"/>
  <c r="U81" i="11"/>
  <c r="S81" i="11"/>
  <c r="Q81" i="11"/>
  <c r="O81" i="11"/>
  <c r="U79" i="11"/>
  <c r="S79" i="11"/>
  <c r="Q79" i="11"/>
  <c r="Q80" i="11" s="1"/>
  <c r="O79" i="11"/>
  <c r="O80" i="11" s="1"/>
  <c r="U77" i="11"/>
  <c r="S77" i="11"/>
  <c r="Q77" i="11"/>
  <c r="O77" i="11"/>
  <c r="O78" i="11" s="1"/>
  <c r="V50" i="11"/>
  <c r="T50" i="11"/>
  <c r="P49" i="11"/>
  <c r="R49" i="11"/>
  <c r="V48" i="11"/>
  <c r="T48" i="11"/>
  <c r="T49" i="11" s="1"/>
  <c r="V46" i="11"/>
  <c r="V47" i="11" s="1"/>
  <c r="T46" i="11"/>
  <c r="T47" i="11" s="1"/>
  <c r="R46" i="11"/>
  <c r="R47" i="11" s="1"/>
  <c r="X16" i="10"/>
  <c r="Z16" i="10"/>
  <c r="AD14" i="10"/>
  <c r="C2" i="11"/>
  <c r="C3" i="11" l="1"/>
  <c r="D3" i="11" s="1"/>
  <c r="E3" i="11" s="1"/>
  <c r="D2" i="11"/>
  <c r="E2" i="11" s="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1" i="14"/>
  <c r="L1" i="14" s="1"/>
  <c r="M1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25" i="11"/>
  <c r="F124" i="11"/>
  <c r="F123" i="11"/>
  <c r="F122" i="11"/>
  <c r="F121" i="11"/>
  <c r="F120" i="11"/>
  <c r="F119" i="11"/>
  <c r="F117" i="11"/>
  <c r="F116" i="11"/>
  <c r="F118" i="11" s="1"/>
  <c r="F113" i="11"/>
  <c r="F112" i="11"/>
  <c r="F115" i="11" s="1"/>
  <c r="F111" i="11"/>
  <c r="F114" i="11" s="1"/>
  <c r="F110" i="11"/>
  <c r="C4" i="11" l="1"/>
  <c r="D4" i="11" s="1"/>
  <c r="C5" i="11"/>
  <c r="B14" i="11"/>
  <c r="M170" i="14"/>
  <c r="N10" i="14"/>
  <c r="O10" i="14" s="1"/>
  <c r="P10" i="14" s="1"/>
  <c r="N9" i="14"/>
  <c r="O9" i="14" s="1"/>
  <c r="N1" i="14"/>
  <c r="O1" i="14" s="1"/>
  <c r="N11" i="14"/>
  <c r="O11" i="14" s="1"/>
  <c r="P11" i="14" s="1"/>
  <c r="N2" i="14"/>
  <c r="O2" i="14" s="1"/>
  <c r="N3" i="14"/>
  <c r="O3" i="14" s="1"/>
  <c r="N5" i="14"/>
  <c r="O5" i="14" s="1"/>
  <c r="N6" i="14"/>
  <c r="O6" i="14" s="1"/>
  <c r="P6" i="14" s="1"/>
  <c r="N7" i="14"/>
  <c r="O7" i="14" s="1"/>
  <c r="P7" i="14" s="1"/>
  <c r="U78" i="11"/>
  <c r="S78" i="11"/>
  <c r="Q78" i="11"/>
  <c r="F12" i="11"/>
  <c r="B23" i="11" s="1"/>
  <c r="F23" i="11" s="1"/>
  <c r="F13" i="11"/>
  <c r="B24" i="11" s="1"/>
  <c r="H98" i="11"/>
  <c r="H97" i="11"/>
  <c r="H96" i="11"/>
  <c r="H95" i="11"/>
  <c r="H94" i="11"/>
  <c r="H93" i="11"/>
  <c r="H92" i="11"/>
  <c r="H90" i="11"/>
  <c r="H89" i="11"/>
  <c r="H91" i="11" s="1"/>
  <c r="H86" i="11"/>
  <c r="H85" i="11"/>
  <c r="H88" i="11" s="1"/>
  <c r="H84" i="11"/>
  <c r="H87" i="11" s="1"/>
  <c r="H83" i="11"/>
  <c r="H68" i="11"/>
  <c r="H67" i="11"/>
  <c r="H66" i="11"/>
  <c r="H65" i="11"/>
  <c r="H64" i="11"/>
  <c r="H63" i="11"/>
  <c r="H62" i="11"/>
  <c r="H60" i="11"/>
  <c r="H59" i="11"/>
  <c r="H61" i="11" s="1"/>
  <c r="H56" i="11"/>
  <c r="H55" i="11"/>
  <c r="H58" i="11" s="1"/>
  <c r="H54" i="11"/>
  <c r="H57" i="11" s="1"/>
  <c r="H53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G15" i="11"/>
  <c r="F16" i="11"/>
  <c r="G16" i="11" s="1"/>
  <c r="F17" i="11"/>
  <c r="G17" i="11" s="1"/>
  <c r="T81" i="10"/>
  <c r="AA49" i="10"/>
  <c r="AA50" i="10" s="1"/>
  <c r="Y49" i="10"/>
  <c r="Y50" i="10" s="1"/>
  <c r="W49" i="10"/>
  <c r="W50" i="10" s="1"/>
  <c r="U49" i="10"/>
  <c r="U50" i="10" s="1"/>
  <c r="U53" i="10"/>
  <c r="U51" i="10"/>
  <c r="U52" i="10" s="1"/>
  <c r="C6" i="11" l="1"/>
  <c r="D5" i="11"/>
  <c r="H14" i="11"/>
  <c r="I14" i="11" s="1"/>
  <c r="P5" i="14"/>
  <c r="O8" i="14"/>
  <c r="P8" i="14" s="1"/>
  <c r="O4" i="14"/>
  <c r="P4" i="14" s="1"/>
  <c r="O12" i="14"/>
  <c r="P12" i="14" s="1"/>
  <c r="P9" i="14"/>
  <c r="N57" i="11"/>
  <c r="L87" i="11"/>
  <c r="M87" i="11" s="1"/>
  <c r="N87" i="11" s="1"/>
  <c r="O87" i="11" s="1"/>
  <c r="L88" i="11"/>
  <c r="M88" i="11" s="1"/>
  <c r="L57" i="11"/>
  <c r="M57" i="11" s="1"/>
  <c r="G13" i="11"/>
  <c r="G12" i="11"/>
  <c r="N56" i="11"/>
  <c r="L56" i="11"/>
  <c r="M56" i="11" s="1"/>
  <c r="C7" i="11" l="1"/>
  <c r="D7" i="11" s="1"/>
  <c r="D6" i="11"/>
  <c r="H101" i="10"/>
  <c r="H100" i="10"/>
  <c r="H99" i="10"/>
  <c r="H98" i="10"/>
  <c r="H97" i="10"/>
  <c r="H96" i="10"/>
  <c r="H95" i="10"/>
  <c r="H93" i="10"/>
  <c r="H92" i="10"/>
  <c r="H94" i="10" s="1"/>
  <c r="H89" i="10"/>
  <c r="H88" i="10"/>
  <c r="H91" i="10" s="1"/>
  <c r="H87" i="10"/>
  <c r="H90" i="10" s="1"/>
  <c r="H86" i="10"/>
  <c r="H71" i="10"/>
  <c r="H70" i="10"/>
  <c r="H69" i="10"/>
  <c r="H68" i="10"/>
  <c r="H67" i="10"/>
  <c r="H66" i="10"/>
  <c r="H65" i="10"/>
  <c r="H63" i="10"/>
  <c r="H62" i="10"/>
  <c r="H64" i="10" s="1"/>
  <c r="H59" i="10"/>
  <c r="H58" i="10"/>
  <c r="H61" i="10" s="1"/>
  <c r="H57" i="10"/>
  <c r="H60" i="10" s="1"/>
  <c r="H56" i="10"/>
  <c r="AB14" i="10"/>
  <c r="Z14" i="10"/>
  <c r="X14" i="10"/>
  <c r="H36" i="10"/>
  <c r="H35" i="10"/>
  <c r="H34" i="10"/>
  <c r="H33" i="10"/>
  <c r="H32" i="10"/>
  <c r="H31" i="10"/>
  <c r="H30" i="10"/>
  <c r="H28" i="10"/>
  <c r="H27" i="10"/>
  <c r="H29" i="10" s="1"/>
  <c r="H24" i="10"/>
  <c r="H23" i="10"/>
  <c r="H22" i="10"/>
  <c r="H21" i="10"/>
  <c r="Q50" i="10"/>
  <c r="Q81" i="10"/>
  <c r="Q52" i="10"/>
  <c r="Q53" i="10"/>
  <c r="Q54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9" i="10"/>
  <c r="O90" i="10" l="1"/>
  <c r="P90" i="10" s="1"/>
  <c r="R90" i="10" s="1"/>
  <c r="O89" i="10"/>
  <c r="P89" i="10" s="1"/>
  <c r="R89" i="10" s="1"/>
  <c r="U13" i="10"/>
  <c r="V13" i="10" s="1"/>
  <c r="U14" i="10"/>
  <c r="V14" i="10" s="1"/>
  <c r="Q79" i="10"/>
  <c r="Q90" i="10"/>
  <c r="Q89" i="10"/>
  <c r="Q84" i="10"/>
  <c r="P84" i="10"/>
  <c r="P83" i="10"/>
  <c r="Q82" i="10"/>
  <c r="Q80" i="10"/>
  <c r="O59" i="10"/>
  <c r="P59" i="10" s="1"/>
  <c r="Q83" i="10"/>
  <c r="H26" i="10"/>
  <c r="O32" i="10"/>
  <c r="P32" i="10" s="1"/>
  <c r="O31" i="10"/>
  <c r="P31" i="10" s="1"/>
  <c r="O22" i="10"/>
  <c r="Q22" i="10" s="1"/>
  <c r="O23" i="10"/>
  <c r="Q23" i="10" s="1"/>
  <c r="H25" i="10"/>
  <c r="Q31" i="10"/>
  <c r="Q32" i="10"/>
  <c r="Q59" i="10"/>
  <c r="Q58" i="10"/>
  <c r="O58" i="10"/>
  <c r="P58" i="10" s="1"/>
  <c r="Q13" i="10"/>
  <c r="Q14" i="10" s="1"/>
  <c r="O50" i="10"/>
  <c r="O49" i="10"/>
  <c r="T13" i="10"/>
  <c r="T14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U82" i="11"/>
  <c r="U80" i="11"/>
  <c r="S82" i="11"/>
  <c r="S80" i="11"/>
  <c r="Q82" i="11"/>
  <c r="O82" i="11"/>
  <c r="V51" i="11"/>
  <c r="V49" i="11"/>
  <c r="T51" i="11"/>
  <c r="R51" i="11"/>
  <c r="P51" i="11"/>
  <c r="B98" i="11"/>
  <c r="B97" i="11"/>
  <c r="B96" i="11"/>
  <c r="B95" i="11"/>
  <c r="B94" i="11"/>
  <c r="B92" i="11"/>
  <c r="B90" i="11"/>
  <c r="B89" i="11"/>
  <c r="B91" i="11" s="1"/>
  <c r="B86" i="11"/>
  <c r="B85" i="11"/>
  <c r="B84" i="11"/>
  <c r="B87" i="11" s="1"/>
  <c r="B83" i="11"/>
  <c r="B68" i="11"/>
  <c r="B67" i="11"/>
  <c r="B66" i="11"/>
  <c r="B64" i="11"/>
  <c r="B60" i="11"/>
  <c r="L2" i="11"/>
  <c r="B11" i="11"/>
  <c r="Z83" i="10"/>
  <c r="Z84" i="10" s="1"/>
  <c r="X83" i="10"/>
  <c r="X84" i="10" s="1"/>
  <c r="V83" i="10"/>
  <c r="V84" i="10" s="1"/>
  <c r="T83" i="10"/>
  <c r="T84" i="10" s="1"/>
  <c r="Z81" i="10"/>
  <c r="Z82" i="10" s="1"/>
  <c r="X81" i="10"/>
  <c r="X82" i="10" s="1"/>
  <c r="V81" i="10"/>
  <c r="V82" i="10" s="1"/>
  <c r="T82" i="10"/>
  <c r="E101" i="10"/>
  <c r="E100" i="10"/>
  <c r="B100" i="10"/>
  <c r="E99" i="10"/>
  <c r="E98" i="10"/>
  <c r="B98" i="10"/>
  <c r="E97" i="10"/>
  <c r="B97" i="10"/>
  <c r="E96" i="10"/>
  <c r="B96" i="10"/>
  <c r="E95" i="10"/>
  <c r="B95" i="10"/>
  <c r="E93" i="10"/>
  <c r="B93" i="10"/>
  <c r="E92" i="10"/>
  <c r="E94" i="10" s="1"/>
  <c r="B92" i="10"/>
  <c r="B94" i="10" s="1"/>
  <c r="E89" i="10"/>
  <c r="B89" i="10"/>
  <c r="E88" i="10"/>
  <c r="E91" i="10" s="1"/>
  <c r="B88" i="10"/>
  <c r="B91" i="10" s="1"/>
  <c r="E87" i="10"/>
  <c r="B87" i="10"/>
  <c r="E86" i="10"/>
  <c r="B86" i="10"/>
  <c r="Y82" i="10"/>
  <c r="Y83" i="10" s="1"/>
  <c r="Y84" i="10" s="1"/>
  <c r="W82" i="10"/>
  <c r="W83" i="10" s="1"/>
  <c r="W84" i="10" s="1"/>
  <c r="U82" i="10"/>
  <c r="U83" i="10" s="1"/>
  <c r="U84" i="10" s="1"/>
  <c r="B36" i="10"/>
  <c r="E35" i="10"/>
  <c r="B35" i="10"/>
  <c r="B34" i="10"/>
  <c r="E33" i="10"/>
  <c r="B33" i="10"/>
  <c r="B32" i="10"/>
  <c r="E71" i="10"/>
  <c r="E70" i="10"/>
  <c r="E69" i="10"/>
  <c r="E68" i="10"/>
  <c r="E67" i="10"/>
  <c r="E66" i="10"/>
  <c r="B71" i="10"/>
  <c r="B70" i="10"/>
  <c r="B69" i="10"/>
  <c r="B68" i="10"/>
  <c r="B67" i="10"/>
  <c r="B66" i="10"/>
  <c r="AA53" i="10"/>
  <c r="AA54" i="10" s="1"/>
  <c r="Y53" i="10"/>
  <c r="W53" i="10"/>
  <c r="V52" i="10"/>
  <c r="V53" i="10" s="1"/>
  <c r="V54" i="10" s="1"/>
  <c r="X52" i="10"/>
  <c r="X53" i="10" s="1"/>
  <c r="X54" i="10" s="1"/>
  <c r="Z52" i="10"/>
  <c r="AA51" i="10"/>
  <c r="AA52" i="10" s="1"/>
  <c r="Y51" i="10"/>
  <c r="Y52" i="10" s="1"/>
  <c r="W51" i="10"/>
  <c r="W52" i="10" s="1"/>
  <c r="E65" i="10"/>
  <c r="B65" i="10"/>
  <c r="E63" i="10"/>
  <c r="B63" i="10"/>
  <c r="E62" i="10"/>
  <c r="E64" i="10" s="1"/>
  <c r="B62" i="10"/>
  <c r="B64" i="10" s="1"/>
  <c r="E59" i="10"/>
  <c r="B59" i="10"/>
  <c r="E58" i="10"/>
  <c r="B58" i="10"/>
  <c r="E57" i="10"/>
  <c r="B57" i="10"/>
  <c r="B60" i="10" s="1"/>
  <c r="E56" i="10"/>
  <c r="B56" i="10"/>
  <c r="E30" i="10"/>
  <c r="B27" i="10"/>
  <c r="B29" i="10" s="1"/>
  <c r="AD18" i="10"/>
  <c r="AB18" i="10"/>
  <c r="Z18" i="10"/>
  <c r="X18" i="10"/>
  <c r="Y16" i="10"/>
  <c r="Y17" i="10" s="1"/>
  <c r="Y18" i="10" s="1"/>
  <c r="AA16" i="10"/>
  <c r="AA17" i="10" s="1"/>
  <c r="AA18" i="10" s="1"/>
  <c r="AC16" i="10"/>
  <c r="AC17" i="10" s="1"/>
  <c r="AC18" i="10" s="1"/>
  <c r="AD16" i="10"/>
  <c r="AB16" i="10"/>
  <c r="O12" i="10"/>
  <c r="E28" i="10"/>
  <c r="E27" i="10"/>
  <c r="E29" i="10" s="1"/>
  <c r="E24" i="10"/>
  <c r="E23" i="10"/>
  <c r="E22" i="10"/>
  <c r="E21" i="10"/>
  <c r="B21" i="10"/>
  <c r="B22" i="10"/>
  <c r="B25" i="10" s="1"/>
  <c r="B23" i="10"/>
  <c r="B24" i="10"/>
  <c r="B28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4" i="10" s="1"/>
  <c r="N15" i="10" s="1"/>
  <c r="A123" i="9"/>
  <c r="A5" i="10" s="1"/>
  <c r="N16" i="10" s="1"/>
  <c r="A124" i="9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A130" i="9" l="1"/>
  <c r="A7" i="10"/>
  <c r="N18" i="10" s="1"/>
  <c r="O92" i="10"/>
  <c r="P92" i="10" s="1"/>
  <c r="O91" i="10"/>
  <c r="P91" i="10" s="1"/>
  <c r="O93" i="10"/>
  <c r="P93" i="10" s="1"/>
  <c r="R93" i="10" s="1"/>
  <c r="O94" i="10"/>
  <c r="P94" i="10" s="1"/>
  <c r="E25" i="10"/>
  <c r="U16" i="10"/>
  <c r="V16" i="10" s="1"/>
  <c r="U15" i="10"/>
  <c r="V15" i="10" s="1"/>
  <c r="U18" i="10"/>
  <c r="V18" i="10" s="1"/>
  <c r="U17" i="10"/>
  <c r="V17" i="10" s="1"/>
  <c r="L92" i="11"/>
  <c r="M92" i="11" s="1"/>
  <c r="L91" i="11"/>
  <c r="M91" i="11" s="1"/>
  <c r="O82" i="10"/>
  <c r="P82" i="10" s="1"/>
  <c r="O81" i="10"/>
  <c r="P81" i="10" s="1"/>
  <c r="R50" i="10"/>
  <c r="P80" i="10" s="1"/>
  <c r="O80" i="10"/>
  <c r="R49" i="10"/>
  <c r="P79" i="10" s="1"/>
  <c r="O79" i="10"/>
  <c r="O51" i="10"/>
  <c r="O52" i="10"/>
  <c r="P52" i="10" s="1"/>
  <c r="P25" i="10" s="1"/>
  <c r="O62" i="10"/>
  <c r="P62" i="10" s="1"/>
  <c r="O34" i="10"/>
  <c r="P34" i="10" s="1"/>
  <c r="O33" i="10"/>
  <c r="P33" i="10" s="1"/>
  <c r="Q60" i="10"/>
  <c r="Q61" i="10"/>
  <c r="B26" i="10"/>
  <c r="O36" i="10"/>
  <c r="P36" i="10" s="1"/>
  <c r="O35" i="10"/>
  <c r="P35" i="10" s="1"/>
  <c r="Q62" i="10"/>
  <c r="Q63" i="10"/>
  <c r="Q93" i="10"/>
  <c r="Q94" i="10" s="1"/>
  <c r="R10" i="10"/>
  <c r="T17" i="10"/>
  <c r="Q36" i="10"/>
  <c r="Q35" i="10"/>
  <c r="Q34" i="10"/>
  <c r="Q33" i="10"/>
  <c r="O25" i="10"/>
  <c r="Q25" i="10" s="1"/>
  <c r="O24" i="10"/>
  <c r="Q24" i="10" s="1"/>
  <c r="H25" i="11"/>
  <c r="K30" i="11" s="1"/>
  <c r="G25" i="11"/>
  <c r="N61" i="11"/>
  <c r="N60" i="11"/>
  <c r="N58" i="11"/>
  <c r="Q91" i="10"/>
  <c r="Q92" i="10" s="1"/>
  <c r="B61" i="10"/>
  <c r="O63" i="10"/>
  <c r="P63" i="10" s="1"/>
  <c r="Q15" i="10"/>
  <c r="B90" i="10"/>
  <c r="E90" i="10"/>
  <c r="E60" i="10"/>
  <c r="O60" i="10"/>
  <c r="P60" i="10" s="1"/>
  <c r="O61" i="10"/>
  <c r="P61" i="10" s="1"/>
  <c r="T15" i="10"/>
  <c r="R11" i="10"/>
  <c r="B88" i="11"/>
  <c r="E61" i="10"/>
  <c r="H24" i="11"/>
  <c r="M47" i="11" s="1"/>
  <c r="G24" i="11"/>
  <c r="H23" i="11"/>
  <c r="M46" i="11" s="1"/>
  <c r="G23" i="11"/>
  <c r="F24" i="11"/>
  <c r="J24" i="11" s="1"/>
  <c r="J23" i="11"/>
  <c r="B15" i="11"/>
  <c r="P50" i="10"/>
  <c r="P49" i="10"/>
  <c r="T16" i="10"/>
  <c r="T18" i="10"/>
  <c r="Q17" i="10"/>
  <c r="E26" i="10"/>
  <c r="N13" i="10"/>
  <c r="A129" i="9"/>
  <c r="A128" i="9"/>
  <c r="B26" i="11"/>
  <c r="G26" i="11" s="1"/>
  <c r="J31" i="11" s="1"/>
  <c r="A127" i="9"/>
  <c r="A1" i="10"/>
  <c r="B28" i="11"/>
  <c r="J28" i="11" s="1"/>
  <c r="N59" i="11"/>
  <c r="P54" i="10"/>
  <c r="P27" i="10" s="1"/>
  <c r="P53" i="10"/>
  <c r="Z53" i="10"/>
  <c r="Y54" i="10"/>
  <c r="W54" i="10"/>
  <c r="U54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L48" i="11" l="1"/>
  <c r="L79" i="11" s="1"/>
  <c r="J30" i="11"/>
  <c r="P26" i="10"/>
  <c r="S53" i="10"/>
  <c r="S54" i="10" s="1"/>
  <c r="R27" i="10" s="1"/>
  <c r="R36" i="10" s="1"/>
  <c r="R59" i="10"/>
  <c r="R82" i="10"/>
  <c r="R81" i="10"/>
  <c r="R79" i="10"/>
  <c r="S89" i="10" s="1"/>
  <c r="T89" i="10" s="1"/>
  <c r="R80" i="10"/>
  <c r="S90" i="10" s="1"/>
  <c r="T90" i="10" s="1"/>
  <c r="P51" i="10"/>
  <c r="S51" i="10" s="1"/>
  <c r="R51" i="10"/>
  <c r="H26" i="11"/>
  <c r="R91" i="10"/>
  <c r="R92" i="10"/>
  <c r="K25" i="11"/>
  <c r="H15" i="11"/>
  <c r="I15" i="11" s="1"/>
  <c r="K23" i="11"/>
  <c r="L46" i="11"/>
  <c r="L77" i="11" s="1"/>
  <c r="M77" i="11"/>
  <c r="N78" i="11" s="1"/>
  <c r="K24" i="11"/>
  <c r="L47" i="11"/>
  <c r="L78" i="11" s="1"/>
  <c r="M78" i="11"/>
  <c r="P22" i="10"/>
  <c r="S49" i="10"/>
  <c r="R58" i="10" s="1"/>
  <c r="S58" i="10" s="1"/>
  <c r="P23" i="10"/>
  <c r="S50" i="10"/>
  <c r="Q18" i="10"/>
  <c r="Q16" i="10"/>
  <c r="F53" i="9"/>
  <c r="B77" i="9"/>
  <c r="C77" i="9" s="1"/>
  <c r="D77" i="9" s="1"/>
  <c r="D46" i="9"/>
  <c r="J26" i="11"/>
  <c r="B27" i="11"/>
  <c r="G27" i="11" s="1"/>
  <c r="G28" i="11"/>
  <c r="J33" i="11" s="1"/>
  <c r="H28" i="11"/>
  <c r="M48" i="11"/>
  <c r="N12" i="10"/>
  <c r="A1" i="11"/>
  <c r="R94" i="10"/>
  <c r="Z54" i="10"/>
  <c r="R54" i="10"/>
  <c r="R53" i="10"/>
  <c r="R52" i="10"/>
  <c r="B61" i="9"/>
  <c r="B75" i="9"/>
  <c r="M51" i="11" l="1"/>
  <c r="M82" i="11" s="1"/>
  <c r="K33" i="11"/>
  <c r="K27" i="11"/>
  <c r="J32" i="11"/>
  <c r="M49" i="11"/>
  <c r="K31" i="11"/>
  <c r="O48" i="11"/>
  <c r="S59" i="10"/>
  <c r="O47" i="11"/>
  <c r="O46" i="11"/>
  <c r="R62" i="10"/>
  <c r="R63" i="10"/>
  <c r="R26" i="10"/>
  <c r="R35" i="10" s="1"/>
  <c r="P24" i="10"/>
  <c r="N79" i="11"/>
  <c r="N89" i="11" s="1"/>
  <c r="O89" i="11" s="1"/>
  <c r="N48" i="11"/>
  <c r="K26" i="11"/>
  <c r="L49" i="11"/>
  <c r="L80" i="11" s="1"/>
  <c r="N47" i="11"/>
  <c r="N88" i="11"/>
  <c r="O88" i="11" s="1"/>
  <c r="N46" i="11"/>
  <c r="O56" i="11" s="1"/>
  <c r="P56" i="11" s="1"/>
  <c r="R23" i="10"/>
  <c r="R32" i="10" s="1"/>
  <c r="S32" i="10" s="1"/>
  <c r="R22" i="10"/>
  <c r="R31" i="10" s="1"/>
  <c r="S31" i="10" s="1"/>
  <c r="B74" i="9"/>
  <c r="K74" i="9" s="1"/>
  <c r="F63" i="9"/>
  <c r="K77" i="9"/>
  <c r="K28" i="11"/>
  <c r="L51" i="11"/>
  <c r="L82" i="11" s="1"/>
  <c r="L50" i="11"/>
  <c r="H27" i="11"/>
  <c r="J27" i="11"/>
  <c r="M79" i="11"/>
  <c r="M80" i="11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M50" i="11" l="1"/>
  <c r="K32" i="11"/>
  <c r="O51" i="11"/>
  <c r="O50" i="11"/>
  <c r="O49" i="11"/>
  <c r="R24" i="10"/>
  <c r="R33" i="10" s="1"/>
  <c r="R60" i="10"/>
  <c r="S60" i="10" s="1"/>
  <c r="N49" i="11"/>
  <c r="N80" i="11"/>
  <c r="N90" i="11" s="1"/>
  <c r="S52" i="10"/>
  <c r="R61" i="10" s="1"/>
  <c r="O57" i="11"/>
  <c r="P57" i="11" s="1"/>
  <c r="S62" i="10"/>
  <c r="H67" i="9"/>
  <c r="D63" i="9" s="1"/>
  <c r="C74" i="9"/>
  <c r="D74" i="9" s="1"/>
  <c r="G74" i="9" s="1"/>
  <c r="D66" i="9"/>
  <c r="B124" i="9" s="1"/>
  <c r="M81" i="11"/>
  <c r="L81" i="11"/>
  <c r="N51" i="11"/>
  <c r="S36" i="10"/>
  <c r="S63" i="10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G15" i="8"/>
  <c r="B29" i="4"/>
  <c r="H5" i="6" s="1"/>
  <c r="E29" i="4" s="1"/>
  <c r="E14" i="8"/>
  <c r="I7" i="6"/>
  <c r="D64" i="9" l="1"/>
  <c r="O59" i="11"/>
  <c r="O58" i="11" s="1"/>
  <c r="P58" i="11" s="1"/>
  <c r="D62" i="9"/>
  <c r="H15" i="6"/>
  <c r="I14" i="6" s="1"/>
  <c r="N81" i="11"/>
  <c r="N82" i="11" s="1"/>
  <c r="N92" i="11" s="1"/>
  <c r="O92" i="11" s="1"/>
  <c r="R25" i="10"/>
  <c r="R34" i="10" s="1"/>
  <c r="S34" i="10" s="1"/>
  <c r="S61" i="10"/>
  <c r="E74" i="9"/>
  <c r="D65" i="9"/>
  <c r="O90" i="11"/>
  <c r="S33" i="10"/>
  <c r="S35" i="10"/>
  <c r="D52" i="9"/>
  <c r="D55" i="9"/>
  <c r="D56" i="9"/>
  <c r="D53" i="9"/>
  <c r="B122" i="9"/>
  <c r="N50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F64" i="9" l="1"/>
  <c r="D61" i="9" s="1"/>
  <c r="B121" i="9" s="1"/>
  <c r="C121" i="9" s="1"/>
  <c r="D121" i="9" s="1"/>
  <c r="G121" i="9" s="1"/>
  <c r="N91" i="11"/>
  <c r="O91" i="11" s="1"/>
  <c r="O60" i="11"/>
  <c r="O61" i="11" s="1"/>
  <c r="P61" i="11" s="1"/>
  <c r="P59" i="11"/>
  <c r="D51" i="9"/>
  <c r="F54" i="9" s="1"/>
  <c r="C2" i="10"/>
  <c r="C3" i="10" s="1"/>
  <c r="C4" i="10" s="1"/>
  <c r="C122" i="9"/>
  <c r="D122" i="9" s="1"/>
  <c r="G122" i="9" s="1"/>
  <c r="B123" i="9"/>
  <c r="F76" i="9"/>
  <c r="I76" i="9" s="1"/>
  <c r="H76" i="9"/>
  <c r="H31" i="4"/>
  <c r="B38" i="4" s="1"/>
  <c r="D28" i="8"/>
  <c r="G27" i="8"/>
  <c r="H32" i="4"/>
  <c r="D29" i="8"/>
  <c r="C5" i="10" l="1"/>
  <c r="D4" i="10"/>
  <c r="C123" i="9"/>
  <c r="D123" i="9" s="1"/>
  <c r="G123" i="9" s="1"/>
  <c r="P60" i="11"/>
  <c r="D3" i="10"/>
  <c r="E3" i="10" s="1"/>
  <c r="C124" i="9"/>
  <c r="D124" i="9" s="1"/>
  <c r="G124" i="9" s="1"/>
  <c r="D2" i="10"/>
  <c r="E2" i="10" s="1"/>
  <c r="O13" i="10" s="1"/>
  <c r="P13" i="10" s="1"/>
  <c r="R13" i="10" s="1"/>
  <c r="D38" i="4"/>
  <c r="G29" i="8"/>
  <c r="B39" i="4"/>
  <c r="G28" i="8"/>
  <c r="B40" i="4"/>
  <c r="C6" i="10" l="1"/>
  <c r="D5" i="10"/>
  <c r="B12" i="11"/>
  <c r="H12" i="11" s="1"/>
  <c r="I12" i="11" s="1"/>
  <c r="O15" i="10"/>
  <c r="D40" i="4"/>
  <c r="D37" i="4" s="1"/>
  <c r="E37" i="4" s="1"/>
  <c r="B37" i="4"/>
  <c r="B42" i="4" s="1"/>
  <c r="O14" i="10"/>
  <c r="P14" i="10" s="1"/>
  <c r="R14" i="10" s="1"/>
  <c r="D39" i="4"/>
  <c r="B33" i="8"/>
  <c r="B32" i="8"/>
  <c r="C7" i="10" l="1"/>
  <c r="D7" i="10" s="1"/>
  <c r="D6" i="10"/>
  <c r="D41" i="4"/>
  <c r="D42" i="4"/>
  <c r="D46" i="4" s="1"/>
  <c r="D49" i="4" s="1"/>
  <c r="D43" i="4"/>
  <c r="D44" i="4" s="1"/>
  <c r="D47" i="4" s="1"/>
  <c r="D45" i="4"/>
  <c r="B13" i="11"/>
  <c r="H13" i="11" s="1"/>
  <c r="I13" i="11" s="1"/>
  <c r="O16" i="10"/>
  <c r="C37" i="4"/>
  <c r="C31" i="8" s="1"/>
  <c r="B31" i="8"/>
  <c r="B43" i="4"/>
  <c r="I54" i="8" s="1"/>
  <c r="B41" i="4"/>
  <c r="B44" i="4" s="1"/>
  <c r="B47" i="4" s="1"/>
  <c r="B45" i="4"/>
  <c r="I76" i="8" s="1"/>
  <c r="B36" i="8"/>
  <c r="P16" i="10" l="1"/>
  <c r="P15" i="10"/>
  <c r="B35" i="8"/>
  <c r="B46" i="4"/>
  <c r="B49" i="4" s="1"/>
  <c r="H82" i="8" s="1"/>
  <c r="B16" i="11"/>
  <c r="O17" i="10"/>
  <c r="P17" i="10" s="1"/>
  <c r="O18" i="10"/>
  <c r="P18" i="10" s="1"/>
  <c r="B48" i="4"/>
  <c r="H71" i="8" s="1"/>
  <c r="D48" i="4"/>
  <c r="D50" i="4" s="1"/>
  <c r="H66" i="8"/>
  <c r="I60" i="8"/>
  <c r="R17" i="10" l="1"/>
  <c r="AF17" i="10"/>
  <c r="R15" i="10"/>
  <c r="AF15" i="10"/>
  <c r="R18" i="10"/>
  <c r="AF18" i="10"/>
  <c r="R16" i="10"/>
  <c r="AF16" i="10"/>
  <c r="C85" i="8"/>
  <c r="I77" i="8"/>
  <c r="B50" i="4"/>
  <c r="H16" i="11"/>
  <c r="I16" i="11" s="1"/>
  <c r="B17" i="11" l="1"/>
  <c r="H17" i="11" l="1"/>
  <c r="I17" i="11" s="1"/>
  <c r="R83" i="10"/>
  <c r="S93" i="10" s="1"/>
  <c r="T93" i="10" s="1"/>
  <c r="S92" i="10"/>
  <c r="T92" i="10" s="1"/>
  <c r="R84" i="10"/>
  <c r="S94" i="10" s="1"/>
  <c r="T94" i="10" s="1"/>
  <c r="S91" i="10"/>
  <c r="T91" i="10" s="1"/>
</calcChain>
</file>

<file path=xl/sharedStrings.xml><?xml version="1.0" encoding="utf-8"?>
<sst xmlns="http://schemas.openxmlformats.org/spreadsheetml/2006/main" count="3691" uniqueCount="1068">
  <si>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</si>
  <si>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</si>
  <si>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</si>
  <si>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</si>
  <si>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</si>
  <si>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</si>
  <si>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</si>
  <si>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</si>
  <si>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</si>
  <si>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</si>
  <si>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</si>
  <si>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</si>
  <si>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</si>
  <si>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</si>
  <si>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</si>
  <si>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</si>
  <si>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</si>
  <si>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</si>
  <si>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</si>
  <si>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</si>
  <si>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</si>
  <si>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</si>
  <si>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</si>
  <si>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</si>
  <si>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</si>
  <si>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</si>
  <si>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</si>
  <si>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</si>
  <si>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</si>
  <si>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</si>
  <si>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</si>
  <si>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</si>
  <si>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</si>
  <si>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</si>
  <si>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</si>
  <si>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</si>
  <si>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</si>
  <si>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</si>
  <si>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</si>
  <si>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</si>
  <si>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</si>
  <si>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</si>
  <si>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</si>
  <si>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</si>
  <si>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</si>
  <si>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</si>
  <si>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</si>
  <si>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</si>
  <si>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</si>
  <si>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</si>
  <si>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</si>
  <si>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</si>
  <si>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</si>
  <si>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</si>
  <si>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</si>
  <si>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</si>
  <si>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</si>
  <si>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</si>
  <si>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</si>
  <si>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</si>
  <si>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</si>
  <si>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</si>
  <si>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</si>
  <si>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</si>
  <si>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</si>
  <si>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</si>
  <si>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</si>
  <si>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</si>
  <si>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</si>
  <si>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</si>
  <si>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</si>
  <si>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</si>
  <si>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</si>
  <si>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</si>
  <si>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</si>
  <si>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</si>
  <si>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</si>
  <si>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</si>
  <si>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</si>
  <si>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</si>
  <si>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</si>
  <si>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</si>
  <si>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</si>
  <si>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</si>
  <si>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</si>
  <si>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</si>
  <si>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</si>
  <si>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</si>
  <si>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</si>
  <si>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</si>
  <si>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</si>
  <si>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</si>
  <si>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</si>
  <si>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</si>
  <si>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</si>
  <si>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</si>
  <si>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</si>
  <si>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</si>
  <si>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</si>
  <si>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</si>
  <si>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</si>
  <si>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</si>
  <si>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</si>
  <si>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</si>
  <si>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</si>
  <si>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</si>
  <si>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</si>
  <si>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</si>
  <si>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</si>
  <si>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</si>
  <si>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</si>
  <si>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</si>
  <si>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</si>
  <si>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</si>
  <si>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</si>
  <si>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</si>
  <si>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</si>
  <si>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</si>
  <si>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</si>
  <si>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</si>
  <si>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</si>
  <si>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</si>
  <si>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</si>
  <si>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</si>
  <si>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</si>
  <si>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</si>
  <si>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</si>
  <si>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</si>
  <si>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</si>
  <si>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</si>
  <si>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</si>
  <si>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</si>
  <si>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</si>
  <si>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</si>
  <si>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</si>
  <si>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</si>
  <si>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</si>
  <si>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</si>
  <si>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</si>
  <si>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</si>
  <si>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</si>
  <si>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</si>
  <si>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</si>
  <si>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</si>
  <si>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</si>
  <si>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</si>
  <si>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</si>
  <si>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</si>
  <si>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</si>
  <si>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</si>
  <si>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</si>
  <si>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</si>
  <si>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</si>
  <si>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</si>
  <si>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</si>
  <si>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</si>
  <si>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</si>
  <si>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</si>
  <si>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</si>
  <si>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</si>
  <si>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</si>
  <si>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</si>
  <si>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</si>
  <si>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</si>
  <si>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</si>
  <si>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</si>
  <si>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</si>
  <si>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</si>
  <si>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</si>
  <si>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</si>
  <si>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</si>
  <si>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</si>
  <si>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</si>
  <si>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</si>
  <si>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</si>
  <si>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</si>
  <si>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</si>
  <si>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</si>
  <si>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</si>
  <si>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</si>
  <si>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</si>
  <si>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</si>
  <si>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</si>
  <si>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</si>
  <si>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</si>
  <si>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</si>
  <si>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</si>
  <si>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</si>
  <si>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</si>
  <si>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</si>
  <si>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</si>
  <si>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</si>
  <si>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</si>
  <si>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</si>
  <si>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</si>
  <si>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</si>
  <si>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</si>
  <si>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</si>
  <si>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</si>
  <si>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</si>
  <si>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</si>
  <si>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</si>
  <si>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</si>
  <si>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</si>
  <si>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</si>
  <si>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</si>
  <si>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</si>
  <si>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</si>
  <si>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</si>
  <si>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</si>
  <si>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</si>
  <si>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</si>
  <si>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</si>
  <si>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</si>
  <si>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</si>
  <si>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</si>
  <si>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</si>
  <si>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</si>
  <si>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</si>
  <si>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</si>
  <si>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</si>
  <si>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</si>
  <si>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</si>
  <si>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</si>
  <si>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</si>
  <si>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</si>
  <si>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</si>
  <si>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</si>
  <si>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</si>
  <si>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</si>
  <si>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</si>
  <si>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</si>
  <si>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</si>
  <si>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</si>
  <si>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</si>
  <si>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</si>
  <si>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</si>
  <si>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</si>
  <si>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</si>
  <si>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</si>
  <si>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</si>
  <si>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</si>
  <si>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</si>
  <si>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</si>
  <si>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</si>
  <si>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</si>
  <si>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</si>
  <si>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</si>
  <si>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</si>
  <si>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</si>
  <si>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</si>
  <si>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</si>
  <si>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</si>
  <si>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</si>
  <si>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</si>
  <si>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</si>
  <si>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</si>
  <si>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</si>
  <si>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</si>
  <si>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</si>
  <si>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</si>
  <si>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</si>
  <si>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</si>
  <si>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</si>
  <si>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</si>
  <si>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</si>
  <si>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</si>
  <si>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</si>
  <si>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</si>
  <si>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</si>
  <si>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</si>
  <si>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</si>
  <si>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</si>
  <si>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</si>
  <si>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</si>
  <si>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</si>
  <si>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</si>
  <si>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</si>
  <si>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</si>
  <si>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</si>
  <si>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</si>
  <si>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</si>
  <si>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</si>
  <si>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</si>
  <si>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</si>
  <si>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</si>
  <si>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</si>
  <si>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</si>
  <si>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</si>
  <si>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</si>
  <si>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</si>
  <si>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</si>
  <si>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</si>
  <si>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</si>
  <si>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</si>
  <si>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</si>
  <si>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</si>
  <si>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</si>
  <si>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</si>
  <si>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</si>
  <si>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</si>
  <si>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</si>
  <si>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</si>
  <si>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</si>
  <si>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</si>
  <si>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</si>
  <si>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</si>
  <si>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</si>
  <si>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</si>
  <si>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</si>
  <si>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</si>
  <si>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</si>
  <si>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</si>
  <si>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</si>
  <si>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</si>
  <si>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</si>
  <si>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</si>
  <si>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</si>
  <si>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</si>
  <si>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</si>
  <si>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</si>
  <si>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</si>
  <si>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</si>
  <si>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</si>
  <si>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</si>
  <si>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</si>
  <si>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</si>
  <si>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</si>
  <si>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</si>
  <si>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</si>
  <si>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</si>
  <si>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</si>
  <si>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</si>
  <si>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</si>
  <si>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</si>
  <si>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</si>
  <si>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</si>
  <si>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</si>
  <si>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</si>
  <si>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</si>
  <si>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</si>
  <si>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</si>
  <si>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</si>
  <si>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</si>
  <si>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</si>
  <si>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</si>
  <si>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</si>
  <si>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</si>
  <si>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</si>
  <si>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</si>
  <si>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</si>
  <si>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</si>
  <si>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</si>
  <si>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</si>
  <si>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</si>
  <si>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</si>
  <si>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</si>
  <si>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</si>
  <si>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</si>
  <si>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</si>
  <si>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</si>
  <si>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</si>
  <si>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</si>
  <si>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</si>
  <si>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</si>
  <si>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</si>
  <si>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</si>
  <si>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</si>
  <si>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</si>
  <si>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</si>
  <si>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</si>
  <si>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</si>
  <si>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</si>
  <si>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</si>
  <si>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</si>
  <si>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</si>
  <si>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</si>
  <si>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</si>
  <si>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</si>
  <si>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</si>
  <si>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</si>
  <si>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</si>
  <si>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</si>
  <si>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</si>
  <si>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</si>
  <si>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</si>
  <si>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</si>
  <si>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</si>
  <si>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</si>
  <si>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</si>
  <si>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</si>
  <si>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</si>
  <si>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</si>
  <si>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</si>
  <si>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</si>
  <si>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</si>
  <si>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</si>
  <si>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</si>
  <si>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</si>
  <si>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</si>
  <si>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</si>
  <si>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</si>
  <si>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</si>
  <si>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</si>
  <si>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</si>
  <si>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</si>
  <si>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</si>
  <si>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</si>
  <si>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</si>
  <si>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</si>
  <si>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</si>
  <si>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</si>
  <si>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</si>
  <si>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</si>
  <si>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</si>
  <si>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</si>
  <si>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</si>
  <si>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</si>
  <si>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</si>
  <si>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</si>
  <si>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</si>
  <si>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</si>
  <si>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</si>
  <si>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</si>
  <si>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</si>
  <si>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</si>
  <si>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</si>
  <si>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</si>
  <si>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</si>
  <si>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</si>
  <si>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</si>
  <si>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</si>
  <si>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</si>
  <si>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</si>
  <si>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</si>
  <si>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</si>
  <si>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</si>
  <si>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</si>
  <si>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</si>
  <si>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</si>
  <si>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</si>
  <si>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</si>
  <si>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</si>
  <si>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</si>
  <si>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</si>
  <si>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</si>
  <si>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</si>
  <si>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</si>
  <si>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</si>
  <si>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</si>
  <si>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</si>
  <si>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</si>
  <si>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</si>
  <si>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</si>
  <si>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</si>
  <si>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</si>
  <si>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</si>
  <si>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</si>
  <si>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</si>
  <si>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</si>
  <si>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</si>
  <si>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</si>
  <si>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</si>
  <si>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</si>
  <si>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</si>
  <si>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</si>
  <si>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</si>
  <si>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</si>
  <si>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</si>
  <si>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</si>
  <si>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</si>
  <si>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</si>
  <si>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</si>
  <si>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</si>
  <si>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</si>
  <si>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</si>
  <si>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</si>
  <si>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</si>
  <si>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</si>
  <si>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</si>
  <si>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</si>
  <si>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</si>
  <si>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</si>
  <si>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</si>
  <si>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</si>
  <si>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</si>
  <si>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</si>
  <si>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</si>
  <si>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</si>
  <si>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</si>
  <si>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</si>
  <si>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</si>
  <si>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</si>
  <si>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</si>
  <si>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</si>
  <si>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</si>
  <si>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</si>
  <si>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</si>
  <si>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</si>
  <si>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</si>
  <si>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</si>
  <si>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</si>
  <si>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</si>
  <si>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</si>
  <si>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</si>
  <si>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</si>
  <si>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</si>
  <si>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</si>
  <si>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</si>
  <si>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</si>
  <si>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</si>
  <si>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</si>
  <si>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</si>
  <si>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</si>
  <si>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</si>
  <si>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</si>
  <si>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</si>
  <si>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</si>
  <si>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</si>
  <si>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</si>
  <si>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</si>
  <si>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</si>
  <si>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</si>
  <si>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</si>
  <si>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</si>
  <si>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</si>
  <si>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</si>
  <si>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</si>
  <si>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</si>
  <si>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</si>
  <si>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</si>
  <si>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</si>
  <si>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</si>
  <si>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</si>
  <si>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</si>
  <si>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</si>
  <si>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</si>
  <si>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</si>
  <si>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</si>
  <si>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</si>
  <si>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</si>
  <si>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</si>
  <si>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</si>
  <si>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</si>
  <si>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</si>
  <si>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</si>
  <si>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</si>
  <si>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</si>
  <si>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</si>
  <si>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</si>
  <si>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</si>
  <si>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</si>
  <si>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</si>
  <si>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</si>
  <si>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</si>
  <si>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</si>
  <si>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</si>
  <si>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</si>
  <si>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</si>
  <si>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</si>
  <si>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</si>
  <si>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</si>
  <si>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</si>
  <si>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</si>
  <si>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</si>
  <si>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</si>
  <si>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</si>
  <si>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</si>
  <si>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</si>
  <si>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</si>
  <si>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</si>
  <si>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</si>
  <si>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</si>
  <si>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</si>
  <si>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</si>
  <si>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</si>
  <si>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</si>
  <si>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</si>
  <si>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</si>
  <si>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</si>
  <si>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</si>
  <si>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</si>
  <si>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</si>
  <si>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</si>
  <si>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</si>
  <si>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</si>
  <si>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</si>
  <si>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</si>
  <si>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</si>
  <si>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</si>
  <si>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</si>
  <si>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</si>
  <si>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</si>
  <si>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</si>
  <si>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</si>
  <si>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</si>
  <si>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</si>
  <si>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</si>
  <si>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</si>
  <si>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</si>
  <si>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</si>
  <si>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</si>
  <si>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</si>
  <si>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</si>
  <si>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</si>
  <si>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</si>
  <si>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</si>
  <si>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</si>
  <si>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</si>
  <si>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</si>
  <si>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</si>
  <si>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</si>
  <si>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</si>
  <si>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</si>
  <si>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</si>
  <si>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</si>
  <si>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</si>
  <si>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</si>
  <si>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</si>
  <si>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</si>
  <si>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</si>
  <si>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</si>
  <si>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</si>
  <si>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</si>
  <si>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</si>
  <si>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</si>
  <si>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</si>
  <si>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</si>
  <si>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</si>
  <si>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</si>
  <si>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</si>
  <si>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</si>
  <si>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</si>
  <si>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</si>
  <si>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</si>
  <si>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</si>
  <si>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</si>
  <si>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</si>
  <si>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</si>
  <si>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</si>
  <si>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</si>
  <si>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</si>
  <si>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</si>
  <si>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</si>
  <si>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</si>
  <si>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</si>
  <si>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</si>
  <si>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</si>
  <si>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</si>
  <si>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</si>
  <si>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</si>
  <si>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</si>
  <si>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</si>
  <si>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</si>
  <si>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</si>
  <si>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</si>
  <si>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</si>
  <si>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</si>
  <si>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</si>
  <si>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</si>
  <si>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</si>
  <si>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</si>
  <si>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</si>
  <si>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</si>
  <si>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</si>
  <si>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</si>
  <si>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</si>
  <si>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</si>
  <si>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</si>
  <si>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</si>
  <si>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</si>
  <si>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</si>
  <si>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</si>
  <si>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</si>
  <si>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</si>
  <si>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</si>
  <si>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</si>
  <si>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</si>
  <si>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</si>
  <si>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</si>
  <si>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</si>
  <si>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</si>
  <si>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</si>
  <si>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</si>
  <si>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</si>
  <si>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</si>
  <si>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</si>
  <si>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</si>
  <si>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</si>
  <si>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</si>
  <si>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</si>
  <si>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</si>
  <si>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</si>
  <si>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</si>
  <si>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</si>
  <si>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</si>
  <si>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</si>
  <si>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</si>
  <si>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</si>
  <si>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</si>
  <si>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</si>
  <si>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</si>
  <si>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</si>
  <si>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</si>
  <si>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</si>
  <si>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</si>
  <si>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</si>
  <si>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</si>
  <si>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</si>
  <si>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</si>
  <si>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</si>
  <si>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</si>
  <si>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</si>
  <si>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</si>
  <si>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</si>
  <si>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</si>
  <si>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</si>
  <si>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</si>
  <si>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</si>
  <si>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</si>
  <si>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</si>
  <si>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</si>
  <si>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</si>
  <si>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</si>
  <si>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</si>
  <si>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</si>
  <si>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</si>
  <si>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</si>
  <si>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</si>
  <si>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</si>
  <si>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</si>
  <si>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</si>
  <si>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</si>
  <si>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</si>
  <si>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</si>
  <si>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</si>
  <si>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</si>
  <si>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</si>
  <si>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</si>
  <si>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</si>
  <si>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</si>
  <si>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</si>
  <si>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</si>
  <si>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</si>
  <si>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</si>
  <si>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</si>
  <si>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</si>
  <si>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</si>
  <si>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</si>
  <si>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</si>
  <si>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</si>
  <si>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</si>
  <si>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</si>
  <si>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</si>
  <si>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</si>
  <si>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</si>
  <si>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</si>
  <si>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</si>
  <si>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</si>
  <si>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</si>
  <si>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</si>
  <si>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</si>
  <si>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</si>
  <si>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</si>
  <si>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</si>
  <si>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</si>
  <si>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</si>
  <si>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</si>
  <si>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</si>
  <si>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</si>
  <si>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</si>
  <si>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</si>
  <si>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</si>
  <si>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</si>
  <si>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</si>
  <si>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</si>
  <si>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</si>
  <si>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</si>
  <si>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</si>
  <si>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</si>
  <si>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</si>
  <si>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</si>
  <si>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</si>
  <si>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</si>
  <si>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</si>
  <si>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</si>
  <si>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</si>
  <si>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</si>
  <si>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</si>
  <si>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</si>
  <si>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</si>
  <si>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</si>
  <si>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</si>
  <si>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</si>
  <si>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</si>
  <si>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</si>
  <si>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</si>
  <si>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</si>
  <si>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</si>
  <si>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</si>
  <si>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</si>
  <si>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</si>
  <si>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</si>
  <si>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</si>
  <si>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</si>
  <si>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</si>
  <si>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</si>
  <si>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</si>
  <si>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</si>
  <si>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</si>
  <si>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</si>
  <si>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</si>
  <si>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</si>
  <si>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</si>
  <si>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</si>
  <si>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</si>
  <si>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</si>
  <si>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</si>
  <si>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</si>
  <si>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</si>
  <si>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</si>
  <si>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</si>
  <si>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5F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</si>
  <si>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</si>
  <si>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</si>
  <si>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</si>
  <si>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</si>
  <si>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</si>
  <si>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</si>
  <si>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</si>
  <si>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</si>
  <si>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</si>
  <si>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</si>
  <si>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</si>
  <si>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</si>
  <si>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</si>
  <si>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</si>
  <si>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</si>
  <si>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</si>
  <si>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</si>
  <si>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</si>
  <si>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</si>
  <si>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</si>
  <si>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</si>
  <si>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</si>
  <si>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</si>
  <si>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</si>
  <si>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</si>
  <si>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</si>
  <si>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</si>
  <si>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</si>
  <si>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</si>
  <si>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</si>
  <si>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</si>
  <si>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</si>
  <si>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</si>
  <si>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</si>
  <si>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</si>
  <si>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</si>
  <si>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</si>
  <si>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</si>
  <si>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</si>
  <si>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</si>
  <si>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</si>
  <si>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</si>
  <si>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</si>
  <si>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</si>
  <si>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</si>
  <si>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</si>
  <si>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</si>
  <si>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</si>
  <si>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</si>
  <si>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</si>
  <si>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</si>
  <si>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</si>
  <si>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</si>
  <si>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</si>
  <si>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</si>
  <si>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</si>
  <si>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</si>
  <si>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</si>
  <si>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</si>
  <si>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</si>
  <si>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</si>
  <si>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</si>
  <si>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</si>
  <si>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</si>
  <si>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</si>
  <si>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</si>
  <si>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</si>
  <si>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</si>
  <si>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</si>
  <si>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</si>
  <si>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</si>
  <si>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</si>
  <si>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</si>
  <si>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</si>
  <si>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</si>
  <si>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</si>
  <si>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</si>
  <si>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</si>
  <si>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</si>
  <si>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</si>
  <si>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</si>
  <si>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</si>
  <si>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</si>
  <si>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</si>
  <si>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</si>
  <si>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</si>
  <si>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</si>
  <si>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</si>
  <si>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</si>
  <si>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</si>
  <si>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</si>
  <si>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</si>
  <si>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</si>
  <si>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</si>
  <si>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</si>
  <si>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</si>
  <si>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</si>
  <si>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</si>
  <si>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</si>
  <si>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</si>
  <si>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</si>
  <si>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</si>
  <si>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</si>
  <si>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</si>
  <si>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</si>
  <si>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>λpd (flange)</t>
    <phoneticPr fontId="11" type="noConversion"/>
  </si>
  <si>
    <t>λpd (web)</t>
    <phoneticPr fontId="11" type="noConversion"/>
  </si>
  <si>
    <t>3F and 4F column</t>
    <phoneticPr fontId="11" type="noConversion"/>
  </si>
  <si>
    <t>b/t (flange)</t>
    <phoneticPr fontId="11" type="noConversion"/>
  </si>
  <si>
    <t>?</t>
    <phoneticPr fontId="11" type="noConversion"/>
  </si>
  <si>
    <t>NEED Ry</t>
    <phoneticPr fontId="11" type="noConversion"/>
  </si>
  <si>
    <t>NO Ry</t>
    <phoneticPr fontId="11" type="noConversion"/>
  </si>
  <si>
    <t>設計Q</t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</si>
  <si>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</si>
  <si>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</si>
  <si>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Eeff (Tf/cm2)</t>
    <phoneticPr fontId="11" type="noConversion"/>
  </si>
  <si>
    <t>material overstrength</t>
    <phoneticPr fontId="11" type="noConversion"/>
  </si>
  <si>
    <t>beta</t>
    <phoneticPr fontId="11" type="noConversion"/>
  </si>
  <si>
    <t>NO need Ry</t>
    <phoneticPr fontId="11" type="noConversion"/>
  </si>
  <si>
    <t>t/cm2</t>
    <phoneticPr fontId="11" type="noConversion"/>
  </si>
  <si>
    <t>capacity</t>
    <phoneticPr fontId="11" type="noConversion"/>
  </si>
  <si>
    <t>demand</t>
    <phoneticPr fontId="11" type="noConversion"/>
  </si>
  <si>
    <t>w</t>
    <phoneticPr fontId="11" type="noConversion"/>
  </si>
  <si>
    <t>beta</t>
    <phoneticPr fontId="11" type="noConversion"/>
  </si>
  <si>
    <t>QE</t>
    <phoneticPr fontId="11" type="noConversion"/>
  </si>
  <si>
    <t>Lwp</t>
    <phoneticPr fontId="11" type="noConversion"/>
  </si>
  <si>
    <t>kgf</t>
    <phoneticPr fontId="11" type="noConversion"/>
  </si>
  <si>
    <t>QE*1000*Ac/Lwp</t>
    <phoneticPr fontId="11" type="noConversion"/>
  </si>
  <si>
    <t>0.5*(beta+1)wRy*P*cos</t>
    <phoneticPr fontId="11" type="noConversion"/>
  </si>
  <si>
    <t>L/4*(beta-1)wRy*P*sin</t>
    <phoneticPr fontId="11" type="noConversion"/>
  </si>
  <si>
    <t>25/sqrt(Fy)</t>
    <phoneticPr fontId="11" type="noConversion"/>
  </si>
  <si>
    <t>16/sqrt(Fy)</t>
    <phoneticPr fontId="11" type="noConversion"/>
  </si>
  <si>
    <t>b/(2*tf)</t>
    <phoneticPr fontId="11" type="noConversion"/>
  </si>
  <si>
    <t>(d-2tf)/tw</t>
    <phoneticPr fontId="11" type="noConversion"/>
  </si>
  <si>
    <t>260/sqrt(Fy)</t>
    <phoneticPr fontId="11" type="noConversion"/>
  </si>
  <si>
    <t>170/sqrt(Fy)</t>
    <phoneticPr fontId="11" type="noConversion"/>
  </si>
  <si>
    <t>14/sqrt(Fy)</t>
    <phoneticPr fontId="11" type="noConversion"/>
  </si>
  <si>
    <t>138/sqrt(Fy)</t>
    <phoneticPr fontId="11" type="noConversion"/>
  </si>
  <si>
    <t>翼板</t>
  </si>
  <si>
    <t>翼板</t>
    <phoneticPr fontId="11" type="noConversion"/>
  </si>
  <si>
    <t>細長支材斷面</t>
    <phoneticPr fontId="11" type="noConversion"/>
  </si>
  <si>
    <t>腹板</t>
  </si>
  <si>
    <t>腹板</t>
    <phoneticPr fontId="11" type="noConversion"/>
  </si>
  <si>
    <t>λr (flange)</t>
    <phoneticPr fontId="11" type="noConversion"/>
  </si>
  <si>
    <t>檢核寬厚比-斷面結實性</t>
    <phoneticPr fontId="11" type="noConversion"/>
  </si>
  <si>
    <t>半結實斷面(可達My)</t>
    <phoneticPr fontId="11" type="noConversion"/>
  </si>
  <si>
    <t>結實斷面(可達Mp)</t>
    <phoneticPr fontId="11" type="noConversion"/>
  </si>
  <si>
    <t>耐震斷面</t>
    <phoneticPr fontId="11" type="noConversion"/>
  </si>
  <si>
    <t>λp&lt;b/t&lt;=λr</t>
    <phoneticPr fontId="11" type="noConversion"/>
  </si>
  <si>
    <t>λr&lt;b/t</t>
    <phoneticPr fontId="11" type="noConversion"/>
  </si>
  <si>
    <r>
      <t xml:space="preserve">λc&gt;1.5 </t>
    </r>
    <r>
      <rPr>
        <sz val="12"/>
        <color theme="1"/>
        <rFont val="細明體"/>
        <family val="3"/>
        <charset val="136"/>
      </rPr>
      <t>彈性挫曲</t>
    </r>
    <r>
      <rPr>
        <sz val="12"/>
        <color theme="1"/>
        <rFont val="Calibri"/>
        <family val="2"/>
      </rPr>
      <t>:Pn=0.877/(λc*λc)*Fy*Ag</t>
    </r>
    <phoneticPr fontId="11" type="noConversion"/>
  </si>
  <si>
    <r>
      <t xml:space="preserve">λc&lt;=1.5 </t>
    </r>
    <r>
      <rPr>
        <sz val="12"/>
        <color theme="1"/>
        <rFont val="細明體"/>
        <family val="3"/>
        <charset val="136"/>
      </rPr>
      <t>非彈性挫曲</t>
    </r>
    <r>
      <rPr>
        <sz val="12"/>
        <color theme="1"/>
        <rFont val="Calibri"/>
        <family val="2"/>
      </rPr>
      <t>:Pn=0.658^(λc*λc)*Fy*Ag</t>
    </r>
    <phoneticPr fontId="11" type="noConversion"/>
  </si>
  <si>
    <r>
      <t>λc(</t>
    </r>
    <r>
      <rPr>
        <sz val="12"/>
        <color theme="1"/>
        <rFont val="細明體"/>
        <family val="3"/>
        <charset val="136"/>
      </rPr>
      <t>細長比參數</t>
    </r>
    <r>
      <rPr>
        <sz val="12"/>
        <color theme="1"/>
        <rFont val="Calibri"/>
        <family val="2"/>
      </rPr>
      <t>)</t>
    </r>
    <phoneticPr fontId="11" type="noConversion"/>
  </si>
  <si>
    <t>λc</t>
    <phoneticPr fontId="11" type="noConversion"/>
  </si>
  <si>
    <t>(K*L/r)y*sqrt(Fy/(pi^2*E))</t>
    <phoneticPr fontId="11" type="noConversion"/>
  </si>
  <si>
    <t>r=sqrt(Iy/Ag)</t>
    <phoneticPr fontId="11" type="noConversion"/>
  </si>
  <si>
    <t>檢核挫曲</t>
    <phoneticPr fontId="11" type="noConversion"/>
  </si>
  <si>
    <r>
      <rPr>
        <sz val="12"/>
        <color theme="1"/>
        <rFont val="細明體"/>
        <family val="3"/>
        <charset val="136"/>
      </rPr>
      <t>檢核是否發揮到</t>
    </r>
    <r>
      <rPr>
        <sz val="12"/>
        <color theme="1"/>
        <rFont val="Calibri"/>
        <family val="2"/>
      </rPr>
      <t>Mp</t>
    </r>
    <phoneticPr fontId="11" type="noConversion"/>
  </si>
  <si>
    <t>梁柱構件-大小軸力</t>
    <phoneticPr fontId="11" type="noConversion"/>
  </si>
  <si>
    <t>大軸力</t>
    <phoneticPr fontId="11" type="noConversion"/>
  </si>
  <si>
    <t>小軸力</t>
    <phoneticPr fontId="11" type="noConversion"/>
  </si>
  <si>
    <t>Pu/(2*phi_c*Pn)+Mu/(phi_b*Mn)&lt;=1.0</t>
    <phoneticPr fontId="11" type="noConversion"/>
  </si>
  <si>
    <t>phi_c=0.85</t>
    <phoneticPr fontId="11" type="noConversion"/>
  </si>
  <si>
    <t>phi_b=0.9</t>
    <phoneticPr fontId="11" type="noConversion"/>
  </si>
  <si>
    <t>Pu/(phi_c*Pn)+8/9*Mu/(phi_b*Mn)&lt;=1.0</t>
    <phoneticPr fontId="11" type="noConversion"/>
  </si>
  <si>
    <t>Pu/(phi_c*Pn)&gt;=0.2</t>
    <phoneticPr fontId="11" type="noConversion"/>
  </si>
  <si>
    <r>
      <t>Pu/(phi_c*Pn)</t>
    </r>
    <r>
      <rPr>
        <sz val="12"/>
        <color theme="1"/>
        <rFont val="細明體"/>
        <family val="3"/>
        <charset val="136"/>
      </rPr>
      <t>&lt;</t>
    </r>
    <r>
      <rPr>
        <sz val="12"/>
        <color theme="1"/>
        <rFont val="Calibri"/>
        <family val="2"/>
      </rPr>
      <t>0.2</t>
    </r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</si>
  <si>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</si>
  <si>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Ry</t>
    <phoneticPr fontId="11" type="noConversion"/>
  </si>
  <si>
    <t>wRyAcFy</t>
    <phoneticPr fontId="11" type="noConversion"/>
  </si>
  <si>
    <t>betawRyAcFy</t>
    <phoneticPr fontId="11" type="noConversion"/>
  </si>
  <si>
    <r>
      <t>Cmax*sin</t>
    </r>
    <r>
      <rPr>
        <sz val="12"/>
        <color theme="1"/>
        <rFont val="細明體"/>
        <family val="3"/>
        <charset val="136"/>
      </rPr>
      <t>控制</t>
    </r>
    <phoneticPr fontId="11" type="noConversion"/>
  </si>
  <si>
    <t>柱子僅需考慮軸力</t>
    <phoneticPr fontId="11" type="noConversion"/>
  </si>
  <si>
    <t>b/t&lt;=λpd</t>
    <phoneticPr fontId="11" type="noConversion"/>
  </si>
  <si>
    <t>λpd&lt;b/t&lt;=λp</t>
    <phoneticPr fontId="11" type="noConversion"/>
  </si>
  <si>
    <r>
      <rPr>
        <sz val="12"/>
        <color rgb="FFFF0000"/>
        <rFont val="細明體"/>
        <family val="3"/>
        <charset val="136"/>
      </rPr>
      <t>γ</t>
    </r>
    <r>
      <rPr>
        <sz val="12"/>
        <color rgb="FFFF0000"/>
        <rFont val="Calibri"/>
        <family val="2"/>
      </rPr>
      <t>p=0.08</t>
    </r>
    <phoneticPr fontId="11" type="noConversion"/>
  </si>
  <si>
    <t>link length range(m)</t>
    <phoneticPr fontId="11" type="noConversion"/>
  </si>
  <si>
    <r>
      <t>γ</t>
    </r>
    <r>
      <rPr>
        <sz val="12"/>
        <color rgb="FFFF0000"/>
        <rFont val="Calibri"/>
        <family val="2"/>
      </rPr>
      <t>p=0.02</t>
    </r>
    <phoneticPr fontId="11" type="noConversion"/>
  </si>
  <si>
    <r>
      <t>γp=L*</t>
    </r>
    <r>
      <rPr>
        <sz val="12"/>
        <color rgb="FFFF0000"/>
        <rFont val="新細明體"/>
        <family val="1"/>
        <charset val="136"/>
      </rPr>
      <t>θ</t>
    </r>
    <r>
      <rPr>
        <sz val="10.1"/>
        <color rgb="FFFF0000"/>
        <rFont val="細明體"/>
        <family val="3"/>
        <charset val="136"/>
      </rPr>
      <t>p/</t>
    </r>
    <r>
      <rPr>
        <sz val="12"/>
        <color rgb="FFFF0000"/>
        <rFont val="細明體"/>
        <family val="3"/>
        <charset val="136"/>
      </rPr>
      <t>e,θp&lt;=0.005(rad)</t>
    </r>
    <phoneticPr fontId="11" type="noConversion"/>
  </si>
  <si>
    <t>1F and 2F link(beam)</t>
    <phoneticPr fontId="11" type="noConversion"/>
  </si>
  <si>
    <t>3F and 4F link(beam)</t>
    <phoneticPr fontId="11" type="noConversion"/>
  </si>
  <si>
    <t>5F and 6F link(beam)</t>
    <phoneticPr fontId="11" type="noConversion"/>
  </si>
  <si>
    <t>?</t>
    <phoneticPr fontId="11" type="noConversion"/>
  </si>
  <si>
    <t>Pbrace=(Vult+Vb)/sin=1.1Vult/sin</t>
    <phoneticPr fontId="11" type="noConversion"/>
  </si>
  <si>
    <t>phi*Vp=phi*Vn (Tf)</t>
    <phoneticPr fontId="11" type="noConversion"/>
  </si>
  <si>
    <t>shear link</t>
    <phoneticPr fontId="11" type="noConversion"/>
  </si>
  <si>
    <t>&lt;1.6Mp/Vp</t>
    <phoneticPr fontId="11" type="noConversion"/>
  </si>
  <si>
    <t>flexural link</t>
    <phoneticPr fontId="11" type="noConversion"/>
  </si>
  <si>
    <t>&gt;2.6Mp/VP</t>
    <phoneticPr fontId="11" type="noConversion"/>
  </si>
  <si>
    <t>w</t>
    <phoneticPr fontId="11" type="noConversion"/>
  </si>
  <si>
    <t>Ry</t>
    <phoneticPr fontId="11" type="noConversion"/>
  </si>
  <si>
    <r>
      <rPr>
        <sz val="12"/>
        <color rgb="FFFF0000"/>
        <rFont val="細明體"/>
        <family val="3"/>
        <charset val="136"/>
      </rPr>
      <t>取</t>
    </r>
    <r>
      <rPr>
        <sz val="12"/>
        <color rgb="FFFF0000"/>
        <rFont val="Calibri"/>
        <family val="2"/>
      </rPr>
      <t>link 1m=100cm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</si>
  <si>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(Tf)=1.25*Ry*Vn</t>
    </r>
    <phoneticPr fontId="11" type="noConversion"/>
  </si>
  <si>
    <r>
      <t xml:space="preserve">diagonal brace </t>
    </r>
    <r>
      <rPr>
        <sz val="12"/>
        <color rgb="FFFF0000"/>
        <rFont val="細明體"/>
        <family val="3"/>
        <charset val="136"/>
      </rPr>
      <t>控制</t>
    </r>
    <phoneticPr fontId="11" type="noConversion"/>
  </si>
  <si>
    <t>Mult = Vult*e/2</t>
    <phoneticPr fontId="11" type="noConversion"/>
  </si>
  <si>
    <t>?</t>
    <phoneticPr fontId="11" type="noConversion"/>
  </si>
  <si>
    <t>λc</t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</si>
  <si>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</si>
  <si>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DCR&lt;=1.0</t>
  </si>
  <si>
    <t>DCR&lt;=1.0</t>
    <phoneticPr fontId="11" type="noConversion"/>
  </si>
  <si>
    <t>DCR&lt;=1.0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</si>
  <si>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(Tf)=1.1*Vult/tan</t>
    </r>
    <phoneticPr fontId="11" type="noConversion"/>
  </si>
  <si>
    <t>phi*Vn&gt;=Vu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</si>
  <si>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</si>
  <si>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</si>
  <si>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</si>
  <si>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</si>
  <si>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</si>
  <si>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Pultcolumn(Tf) =(Vult_NF+...+Vult_iF)-Pult_brace_iF*sin</t>
    <phoneticPr fontId="11" type="noConversion"/>
  </si>
  <si>
    <t>λc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</si>
  <si>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</si>
  <si>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rFont val="Calibri"/>
        <family val="2"/>
      </rPr>
      <t xml:space="preserve">n </t>
    </r>
    <r>
      <rPr>
        <sz val="12"/>
        <rFont val="Calibri"/>
        <family val="2"/>
      </rPr>
      <t>(Tf-cm)</t>
    </r>
    <phoneticPr fontId="11" type="noConversion"/>
  </si>
  <si>
    <t>PHI=0.9</t>
    <phoneticPr fontId="11" type="noConversion"/>
  </si>
  <si>
    <t>ATAN(4/3.5)</t>
    <phoneticPr fontId="11" type="noConversion"/>
  </si>
  <si>
    <r>
      <t xml:space="preserve">link </t>
    </r>
    <r>
      <rPr>
        <sz val="12"/>
        <color theme="1"/>
        <rFont val="細明體"/>
        <family val="3"/>
        <charset val="136"/>
      </rPr>
      <t>全部一樣</t>
    </r>
    <phoneticPr fontId="11" type="noConversion"/>
  </si>
  <si>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LTB   Lp= 80*ry/sqrt(Fy) (cm)</t>
    </r>
    <phoneticPr fontId="11" type="noConversion"/>
  </si>
  <si>
    <t xml:space="preserve">LTB </t>
    <phoneticPr fontId="11" type="noConversion"/>
  </si>
  <si>
    <t>1.3*Mp/Vp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</si>
  <si>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</si>
  <si>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</si>
  <si>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ATAN(4/4)</t>
    <phoneticPr fontId="11" type="noConversion"/>
  </si>
  <si>
    <t>demand&lt;=capacity</t>
    <phoneticPr fontId="11" type="noConversion"/>
  </si>
  <si>
    <t>算這幹嘛?</t>
    <phoneticPr fontId="11" type="noConversion"/>
  </si>
  <si>
    <t>樓高(cm)</t>
    <phoneticPr fontId="11" type="noConversion"/>
  </si>
  <si>
    <t>梁全長</t>
  </si>
  <si>
    <t>λc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</si>
  <si>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</si>
  <si>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有效長度L(cm)</t>
    <phoneticPr fontId="11" type="noConversion"/>
  </si>
  <si>
    <t>DCR</t>
    <phoneticPr fontId="11" type="noConversion"/>
  </si>
  <si>
    <t>SN490</t>
    <phoneticPr fontId="11" type="noConversion"/>
  </si>
  <si>
    <t>ATAN(4/3.5)</t>
  </si>
  <si>
    <t>link length range(m)</t>
  </si>
  <si>
    <t>SN490</t>
  </si>
  <si>
    <t>γp=L*θp/e,θp&lt;=0.005(rad)</t>
  </si>
  <si>
    <t>strain hardening</t>
  </si>
  <si>
    <t>w</t>
  </si>
  <si>
    <t>γp=0.02</t>
  </si>
  <si>
    <t>material overstrength</t>
  </si>
  <si>
    <t>Ry</t>
  </si>
  <si>
    <t>γp=0.08</t>
  </si>
  <si>
    <t>beta</t>
  </si>
  <si>
    <t>E</t>
  </si>
  <si>
    <t>Gpa</t>
  </si>
  <si>
    <t>T/cm2</t>
  </si>
  <si>
    <r>
      <rPr>
        <sz val="12"/>
        <color theme="1"/>
        <rFont val="新細明體"/>
        <family val="2"/>
        <charset val="136"/>
      </rPr>
      <t>取</t>
    </r>
    <r>
      <rPr>
        <sz val="12"/>
        <color theme="1"/>
        <rFont val="Calibri"/>
        <family val="2"/>
      </rPr>
      <t>link 1m=100cm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</si>
</sst>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.0000_);[Red]\(0.0000\)"/>
    <numFmt numFmtId="179" formatCode="0.000_);[Red]\(0.000\)"/>
    <numFmt numFmtId="180" formatCode="0.000"/>
    <numFmt numFmtId="181" formatCode="0.000_ "/>
  </numFmts>
  <fonts count="6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.1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9" borderId="0" applyNumberFormat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80" fontId="8" fillId="0" borderId="14" xfId="0" applyNumberFormat="1" applyFont="1" applyBorder="1" applyAlignment="1">
      <alignment vertical="center" wrapText="1"/>
    </xf>
    <xf numFmtId="176" fontId="58" fillId="10" borderId="14" xfId="3" applyNumberFormat="1" applyFill="1" applyBorder="1" applyAlignment="1">
      <alignment horizontal="center" vertical="center"/>
    </xf>
    <xf numFmtId="0" fontId="58" fillId="10" borderId="14" xfId="3" applyFill="1" applyBorder="1">
      <alignment vertical="center"/>
    </xf>
    <xf numFmtId="176" fontId="57" fillId="0" borderId="20" xfId="0" applyNumberFormat="1" applyFont="1" applyBorder="1">
      <alignment vertical="center"/>
    </xf>
    <xf numFmtId="176" fontId="57" fillId="0" borderId="14" xfId="0" applyNumberFormat="1" applyFont="1" applyBorder="1">
      <alignment vertical="center"/>
    </xf>
    <xf numFmtId="0" fontId="57" fillId="0" borderId="14" xfId="0" applyFont="1" applyBorder="1">
      <alignment vertical="center"/>
    </xf>
    <xf numFmtId="0" fontId="57" fillId="0" borderId="37" xfId="0" applyFont="1" applyBorder="1">
      <alignment vertical="center"/>
    </xf>
    <xf numFmtId="0" fontId="57" fillId="0" borderId="24" xfId="0" applyFont="1" applyBorder="1">
      <alignment vertical="center"/>
    </xf>
    <xf numFmtId="0" fontId="57" fillId="0" borderId="38" xfId="0" applyFont="1" applyBorder="1">
      <alignment vertical="center"/>
    </xf>
    <xf numFmtId="0" fontId="59" fillId="0" borderId="0" xfId="0" applyFont="1">
      <alignment vertical="center"/>
    </xf>
    <xf numFmtId="0" fontId="57" fillId="0" borderId="21" xfId="0" applyFont="1" applyBorder="1">
      <alignment vertical="center"/>
    </xf>
    <xf numFmtId="0" fontId="57" fillId="0" borderId="36" xfId="0" applyFont="1" applyBorder="1">
      <alignment vertical="center"/>
    </xf>
    <xf numFmtId="0" fontId="57" fillId="0" borderId="0" xfId="0" applyFont="1" applyAlignment="1">
      <alignment horizontal="right"/>
    </xf>
    <xf numFmtId="181" fontId="57" fillId="0" borderId="14" xfId="0" applyNumberFormat="1" applyFont="1" applyBorder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>
      <alignment vertical="center"/>
    </xf>
    <xf numFmtId="0" fontId="59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176" fontId="8" fillId="8" borderId="14" xfId="0" applyNumberFormat="1" applyFont="1" applyFill="1" applyBorder="1">
      <alignment vertical="center"/>
    </xf>
    <xf numFmtId="0" fontId="8" fillId="8" borderId="0" xfId="0" applyFont="1" applyFill="1" applyAlignment="1">
      <alignment horizontal="center" vertical="center"/>
    </xf>
    <xf numFmtId="176" fontId="57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>
      <alignment vertical="center"/>
    </xf>
    <xf numFmtId="0" fontId="57" fillId="0" borderId="14" xfId="0" applyFont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176" fontId="57" fillId="8" borderId="14" xfId="0" applyNumberFormat="1" applyFont="1" applyFill="1" applyBorder="1">
      <alignment vertical="center"/>
    </xf>
    <xf numFmtId="176" fontId="57" fillId="0" borderId="0" xfId="0" applyNumberFormat="1" applyFont="1" applyBorder="1" applyAlignment="1">
      <alignment horizontal="center" vertical="center"/>
    </xf>
    <xf numFmtId="181" fontId="57" fillId="0" borderId="14" xfId="0" applyNumberFormat="1" applyFont="1" applyBorder="1" applyAlignment="1">
      <alignment horizontal="center" vertical="center"/>
    </xf>
    <xf numFmtId="176" fontId="8" fillId="8" borderId="14" xfId="0" applyNumberFormat="1" applyFont="1" applyFill="1" applyBorder="1" applyAlignment="1">
      <alignment vertical="center" wrapText="1"/>
    </xf>
    <xf numFmtId="0" fontId="57" fillId="0" borderId="0" xfId="0" applyFont="1" applyFill="1">
      <alignment vertical="center"/>
    </xf>
    <xf numFmtId="0" fontId="8" fillId="0" borderId="15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center" vertical="center" wrapText="1"/>
    </xf>
    <xf numFmtId="0" fontId="57" fillId="11" borderId="14" xfId="0" applyFont="1" applyFill="1" applyBorder="1">
      <alignment vertical="center"/>
    </xf>
    <xf numFmtId="0" fontId="57" fillId="11" borderId="14" xfId="0" applyFont="1" applyFill="1" applyBorder="1" applyAlignment="1">
      <alignment horizontal="center" vertical="center"/>
    </xf>
    <xf numFmtId="179" fontId="58" fillId="11" borderId="14" xfId="3" applyNumberFormat="1" applyFill="1" applyBorder="1">
      <alignment vertical="center"/>
    </xf>
    <xf numFmtId="176" fontId="57" fillId="11" borderId="14" xfId="0" applyNumberFormat="1" applyFont="1" applyFill="1" applyBorder="1" applyAlignment="1">
      <alignment horizontal="center" vertical="center"/>
    </xf>
    <xf numFmtId="0" fontId="57" fillId="11" borderId="0" xfId="0" applyFont="1" applyFill="1">
      <alignment vertical="center"/>
    </xf>
    <xf numFmtId="176" fontId="57" fillId="0" borderId="0" xfId="0" applyNumberFormat="1" applyFont="1" applyBorder="1">
      <alignment vertical="center"/>
    </xf>
    <xf numFmtId="180" fontId="57" fillId="0" borderId="0" xfId="0" applyNumberFormat="1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14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76" fontId="57" fillId="11" borderId="0" xfId="0" applyNumberFormat="1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 vertical="center"/>
    </xf>
    <xf numFmtId="0" fontId="57" fillId="11" borderId="0" xfId="0" applyFont="1" applyFill="1" applyAlignment="1">
      <alignment horizontal="right" vertical="center"/>
    </xf>
    <xf numFmtId="0" fontId="56" fillId="6" borderId="0" xfId="0" applyFont="1" applyFill="1" applyBorder="1" applyAlignment="1">
      <alignment horizontal="right" vertical="center"/>
    </xf>
    <xf numFmtId="181" fontId="8" fillId="0" borderId="14" xfId="0" applyNumberFormat="1" applyFont="1" applyBorder="1" applyAlignment="1">
      <alignment horizontal="center" vertical="center"/>
    </xf>
    <xf numFmtId="0" fontId="57" fillId="11" borderId="14" xfId="0" applyFont="1" applyFill="1" applyBorder="1" applyAlignment="1">
      <alignment horizontal="right" vertical="center"/>
    </xf>
    <xf numFmtId="0" fontId="59" fillId="11" borderId="14" xfId="0" applyFont="1" applyFill="1" applyBorder="1" applyAlignment="1">
      <alignment horizontal="right" vertical="center"/>
    </xf>
    <xf numFmtId="0" fontId="24" fillId="0" borderId="14" xfId="0" applyFont="1" applyBorder="1">
      <alignment vertical="center"/>
    </xf>
    <xf numFmtId="181" fontId="57" fillId="8" borderId="14" xfId="0" applyNumberFormat="1" applyFont="1" applyFill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12" borderId="1" xfId="0" applyFont="1" applyFill="1" applyBorder="1" applyAlignment="1">
      <alignment vertical="top" wrapText="1"/>
    </xf>
    <xf numFmtId="0" fontId="63" fillId="12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4">
    <cellStyle name="20% - 輔色1" xfId="3" builtinId="30"/>
    <cellStyle name="一般" xfId="0" builtinId="0"/>
    <cellStyle name="一般 2" xfId="1" xr:uid="{00000000-0005-0000-0000-000002000000}"/>
    <cellStyle name="一般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219075</xdr:colOff>
      <xdr:row>7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476375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104775</xdr:colOff>
      <xdr:row>7</xdr:row>
      <xdr:rowOff>180975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476375"/>
          <a:ext cx="790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675676</xdr:colOff>
      <xdr:row>31</xdr:row>
      <xdr:rowOff>65855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0476" cy="6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Document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Drawing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34" zoomScale="95" zoomScaleNormal="95" workbookViewId="0">
      <selection activeCell="D27" sqref="D27"/>
    </sheetView>
  </sheetViews>
  <sheetFormatPr defaultColWidth="9" defaultRowHeight="15.7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>
      <c r="A1" s="120" t="s">
        <v>352</v>
      </c>
      <c r="C1" s="121" t="s">
        <v>353</v>
      </c>
      <c r="I1" s="122"/>
    </row>
    <row r="2" spans="1:10" ht="16.5">
      <c r="A2" s="120"/>
      <c r="I2" s="122"/>
    </row>
    <row r="3" spans="1:10" ht="16.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>
      <c r="I4" s="122"/>
    </row>
    <row r="5" spans="1:10" ht="18.7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>
      <c r="I7" s="122"/>
    </row>
    <row r="8" spans="1:10" ht="16.5">
      <c r="A8" s="120" t="s">
        <v>667</v>
      </c>
      <c r="B8" s="119" t="s">
        <v>434</v>
      </c>
      <c r="C8" s="123">
        <v>4.8</v>
      </c>
      <c r="D8" s="124"/>
      <c r="I8" s="122"/>
    </row>
    <row r="9" spans="1:10">
      <c r="B9" s="119" t="s">
        <v>510</v>
      </c>
      <c r="C9" s="119">
        <f>1+(C8-1)/1.5</f>
        <v>3.5333333333333332</v>
      </c>
      <c r="I9" s="122"/>
    </row>
    <row r="10" spans="1:10" ht="16.5">
      <c r="A10" s="120" t="s">
        <v>668</v>
      </c>
      <c r="B10" s="119" t="s">
        <v>434</v>
      </c>
      <c r="C10" s="123">
        <v>4.8</v>
      </c>
      <c r="I10" s="122"/>
    </row>
    <row r="11" spans="1:10">
      <c r="B11" s="119" t="s">
        <v>510</v>
      </c>
      <c r="C11" s="119">
        <f>1+(C10-1)/1.5</f>
        <v>3.5333333333333332</v>
      </c>
      <c r="I11" s="122"/>
    </row>
    <row r="12" spans="1:10" ht="16.5">
      <c r="A12" s="120"/>
      <c r="C12" s="124"/>
      <c r="D12" s="124"/>
      <c r="I12" s="122"/>
    </row>
    <row r="13" spans="1:10" ht="16.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>
      <c r="A14" s="120"/>
      <c r="B14" s="119" t="s">
        <v>640</v>
      </c>
      <c r="C14" s="261" t="s">
        <v>617</v>
      </c>
      <c r="D14" s="261"/>
      <c r="E14" s="261"/>
      <c r="F14" s="261"/>
      <c r="G14" s="261"/>
      <c r="H14" s="261"/>
      <c r="I14" s="122"/>
    </row>
    <row r="15" spans="1:10" ht="16.5">
      <c r="A15" s="120"/>
      <c r="B15" s="119" t="s">
        <v>641</v>
      </c>
      <c r="C15" s="261" t="s">
        <v>642</v>
      </c>
      <c r="D15" s="261"/>
      <c r="E15" s="261"/>
      <c r="F15" s="261"/>
      <c r="G15" s="261"/>
      <c r="H15" s="261"/>
      <c r="I15" s="125"/>
      <c r="J15" s="119" t="s">
        <v>499</v>
      </c>
    </row>
    <row r="16" spans="1:10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>
      <c r="F18" s="119" t="s">
        <v>590</v>
      </c>
      <c r="I18" s="122"/>
    </row>
    <row r="19" spans="1:10" ht="16.5">
      <c r="A19" s="120" t="s">
        <v>433</v>
      </c>
      <c r="B19" s="123" t="s">
        <v>405</v>
      </c>
      <c r="F19" s="119" t="s">
        <v>591</v>
      </c>
      <c r="I19" s="122"/>
    </row>
    <row r="20" spans="1:10" ht="16.5">
      <c r="A20" s="120"/>
      <c r="B20" s="124"/>
      <c r="I20" s="122"/>
      <c r="J20" s="119" t="s">
        <v>507</v>
      </c>
    </row>
    <row r="21" spans="1:10" ht="16.5">
      <c r="A21" s="120"/>
      <c r="B21" s="124"/>
      <c r="I21" s="122"/>
      <c r="J21" s="119" t="s">
        <v>508</v>
      </c>
    </row>
    <row r="22" spans="1:10">
      <c r="I22" s="122"/>
      <c r="J22" s="119" t="s">
        <v>509</v>
      </c>
    </row>
    <row r="23" spans="1:10" ht="16.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>
      <c r="D25" s="119" t="s">
        <v>645</v>
      </c>
      <c r="E25" s="123">
        <f>'Near Fault'!H6</f>
        <v>1</v>
      </c>
      <c r="I25" s="122"/>
    </row>
    <row r="26" spans="1:10" ht="2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>
      <c r="D27" s="119" t="s">
        <v>645</v>
      </c>
      <c r="E27" s="123">
        <f>'Near Fault'!H11</f>
        <v>1</v>
      </c>
      <c r="I27" s="122"/>
    </row>
    <row r="28" spans="1:10">
      <c r="E28" s="124"/>
      <c r="I28" s="122"/>
    </row>
    <row r="29" spans="1:10" ht="2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>
      <c r="B33" s="124"/>
      <c r="I33" s="122"/>
    </row>
    <row r="34" spans="1:9" ht="16.5" thickBot="1">
      <c r="A34" s="142"/>
      <c r="B34" s="262" t="s">
        <v>792</v>
      </c>
      <c r="C34" s="263"/>
      <c r="D34" s="262" t="s">
        <v>793</v>
      </c>
      <c r="E34" s="263"/>
      <c r="F34" s="126"/>
      <c r="I34" s="122"/>
    </row>
    <row r="35" spans="1:9" ht="18.75">
      <c r="A35" s="184" t="s">
        <v>670</v>
      </c>
      <c r="B35" s="185">
        <v>1.4127000000000001</v>
      </c>
      <c r="C35" s="186" t="s">
        <v>656</v>
      </c>
      <c r="D35" s="185">
        <v>0.75960000000000005</v>
      </c>
      <c r="E35" s="186" t="s">
        <v>656</v>
      </c>
      <c r="I35" s="122"/>
    </row>
    <row r="36" spans="1:9" ht="18.7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>
      <c r="A51" s="142"/>
      <c r="B51" s="259" t="s">
        <v>671</v>
      </c>
      <c r="C51" s="260"/>
      <c r="D51" s="259" t="s">
        <v>672</v>
      </c>
      <c r="E51" s="260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 xr:uid="{00000000-0002-0000-0000-000000000000}">
      <formula1>$F$16:$F$19</formula1>
    </dataValidation>
    <dataValidation type="list" allowBlank="1" showInputMessage="1" showErrorMessage="1" sqref="C14:C15" xr:uid="{00000000-0002-0000-0000-000001000000}">
      <formula1>$J$15:$J$18</formula1>
    </dataValidation>
    <dataValidation type="list" allowBlank="1" showInputMessage="1" showErrorMessage="1" sqref="B19" xr:uid="{00000000-0002-0000-0000-000002000000}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6"/>
  <sheetViews>
    <sheetView workbookViewId="0">
      <selection activeCell="H20" sqref="H20"/>
    </sheetView>
  </sheetViews>
  <sheetFormatPr defaultRowHeight="16.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3">
      <c r="A1" t="s">
        <v>782</v>
      </c>
      <c r="B1" t="s">
        <v>783</v>
      </c>
      <c r="C1" t="s">
        <v>784</v>
      </c>
      <c r="D1" t="s">
        <v>785</v>
      </c>
    </row>
    <row r="2" spans="1:13">
      <c r="A2" t="s">
        <v>731</v>
      </c>
      <c r="B2" t="s">
        <v>787</v>
      </c>
      <c r="C2" t="s">
        <v>788</v>
      </c>
      <c r="D2">
        <v>7</v>
      </c>
      <c r="I2">
        <f>H2-H3</f>
        <v>0</v>
      </c>
      <c r="J2">
        <f>I2/4*100</f>
        <v>0</v>
      </c>
    </row>
    <row r="3" spans="1:13">
      <c r="A3" t="s">
        <v>732</v>
      </c>
      <c r="B3" t="s">
        <v>789</v>
      </c>
      <c r="C3" t="s">
        <v>788</v>
      </c>
      <c r="D3">
        <v>7</v>
      </c>
      <c r="I3">
        <f>H3-H4</f>
        <v>0</v>
      </c>
      <c r="J3" s="171">
        <f>I3/4*100</f>
        <v>0</v>
      </c>
    </row>
    <row r="4" spans="1:13">
      <c r="A4" t="s">
        <v>734</v>
      </c>
      <c r="B4" t="s">
        <v>790</v>
      </c>
      <c r="C4" t="s">
        <v>788</v>
      </c>
      <c r="D4">
        <v>7</v>
      </c>
      <c r="I4">
        <f>H4-H5</f>
        <v>0</v>
      </c>
      <c r="J4" s="171">
        <f>I4/4*100</f>
        <v>0</v>
      </c>
    </row>
    <row r="5" spans="1:13">
      <c r="A5" t="s">
        <v>736</v>
      </c>
      <c r="B5" t="s">
        <v>791</v>
      </c>
      <c r="C5" t="s">
        <v>788</v>
      </c>
      <c r="D5">
        <v>7</v>
      </c>
      <c r="I5">
        <f>H5</f>
        <v>0</v>
      </c>
      <c r="J5" s="171">
        <f>I5/4*100</f>
        <v>0</v>
      </c>
    </row>
    <row r="7" spans="1:13" ht="17.25" thickBot="1"/>
    <row r="8" spans="1:13" ht="17.25" thickBot="1">
      <c r="A8" t="s">
        <v>782</v>
      </c>
      <c r="B8" t="s">
        <v>783</v>
      </c>
      <c r="C8" t="s">
        <v>784</v>
      </c>
      <c r="D8" t="s">
        <v>785</v>
      </c>
      <c r="I8" t="s">
        <v>786</v>
      </c>
      <c r="L8" s="256"/>
      <c r="M8" s="257"/>
    </row>
    <row r="9" spans="1:13" ht="17.25" thickBot="1">
      <c r="A9" t="s">
        <v>731</v>
      </c>
      <c r="B9" t="s">
        <v>794</v>
      </c>
      <c r="C9" t="s">
        <v>788</v>
      </c>
      <c r="D9">
        <v>7</v>
      </c>
      <c r="L9" s="254">
        <v>216.98</v>
      </c>
      <c r="M9" s="255">
        <v>262.38</v>
      </c>
    </row>
    <row r="10" spans="1:13" ht="17.25" thickBot="1">
      <c r="A10" t="s">
        <v>731</v>
      </c>
      <c r="B10" t="s">
        <v>795</v>
      </c>
      <c r="C10" t="s">
        <v>788</v>
      </c>
      <c r="D10">
        <v>1</v>
      </c>
      <c r="I10">
        <v>5.6400000000000005E-4</v>
      </c>
      <c r="L10" s="254">
        <v>175.14</v>
      </c>
      <c r="M10" s="255">
        <v>211.78</v>
      </c>
    </row>
    <row r="11" spans="1:13" ht="17.25" thickBot="1">
      <c r="A11" t="s">
        <v>732</v>
      </c>
      <c r="B11" t="s">
        <v>794</v>
      </c>
      <c r="C11" t="s">
        <v>788</v>
      </c>
      <c r="D11">
        <v>7</v>
      </c>
      <c r="L11" s="254">
        <v>116.76</v>
      </c>
      <c r="M11" s="255">
        <v>141.19</v>
      </c>
    </row>
    <row r="12" spans="1:13" ht="17.25" thickBot="1">
      <c r="A12" t="s">
        <v>732</v>
      </c>
      <c r="B12" t="s">
        <v>795</v>
      </c>
      <c r="C12" t="s">
        <v>788</v>
      </c>
      <c r="D12">
        <v>1</v>
      </c>
      <c r="I12">
        <v>5.5800000000000001E-4</v>
      </c>
      <c r="L12" s="254">
        <v>58.38</v>
      </c>
      <c r="M12" s="255">
        <v>70.59</v>
      </c>
    </row>
    <row r="13" spans="1:13">
      <c r="A13" t="s">
        <v>734</v>
      </c>
      <c r="B13" t="s">
        <v>794</v>
      </c>
      <c r="C13" t="s">
        <v>788</v>
      </c>
      <c r="D13">
        <v>127</v>
      </c>
      <c r="L13">
        <f>L9*9.81</f>
        <v>2128.5738000000001</v>
      </c>
      <c r="M13">
        <f>M9*9.81</f>
        <v>2573.9477999999999</v>
      </c>
    </row>
    <row r="14" spans="1:13">
      <c r="A14" t="s">
        <v>734</v>
      </c>
      <c r="B14" t="s">
        <v>795</v>
      </c>
      <c r="C14" t="s">
        <v>788</v>
      </c>
      <c r="D14">
        <v>7</v>
      </c>
      <c r="I14">
        <v>3.8299999999999999E-4</v>
      </c>
      <c r="L14" s="171">
        <f t="shared" ref="L14:M16" si="0">L10*9.81</f>
        <v>1718.1233999999999</v>
      </c>
      <c r="M14" s="171">
        <f t="shared" si="0"/>
        <v>2077.5617999999999</v>
      </c>
    </row>
    <row r="15" spans="1:13">
      <c r="A15" t="s">
        <v>736</v>
      </c>
      <c r="B15" t="s">
        <v>794</v>
      </c>
      <c r="C15" t="s">
        <v>788</v>
      </c>
      <c r="D15">
        <v>7</v>
      </c>
      <c r="L15" s="171">
        <f t="shared" si="0"/>
        <v>1145.4156</v>
      </c>
      <c r="M15" s="171">
        <f t="shared" si="0"/>
        <v>1385.0739000000001</v>
      </c>
    </row>
    <row r="16" spans="1:13">
      <c r="A16" t="s">
        <v>736</v>
      </c>
      <c r="B16" t="s">
        <v>795</v>
      </c>
      <c r="C16" t="s">
        <v>788</v>
      </c>
      <c r="D16">
        <v>7</v>
      </c>
      <c r="I16">
        <v>1.7000000000000001E-4</v>
      </c>
      <c r="L16" s="171">
        <f t="shared" si="0"/>
        <v>572.70780000000002</v>
      </c>
      <c r="M16" s="171">
        <f t="shared" si="0"/>
        <v>692.48790000000008</v>
      </c>
    </row>
    <row r="20" spans="1:4">
      <c r="A20" s="174" t="s">
        <v>782</v>
      </c>
      <c r="B20" s="174" t="s">
        <v>796</v>
      </c>
      <c r="C20" s="174" t="s">
        <v>797</v>
      </c>
      <c r="D20" s="174" t="s">
        <v>805</v>
      </c>
    </row>
    <row r="21" spans="1:4">
      <c r="A21" s="321" t="s">
        <v>731</v>
      </c>
      <c r="B21" s="174" t="s">
        <v>798</v>
      </c>
      <c r="C21" s="174" t="s">
        <v>799</v>
      </c>
      <c r="D21" s="174">
        <v>11.843</v>
      </c>
    </row>
    <row r="22" spans="1:4">
      <c r="A22" s="321"/>
      <c r="B22" s="174" t="s">
        <v>800</v>
      </c>
      <c r="C22" s="174" t="s">
        <v>799</v>
      </c>
      <c r="D22" s="174">
        <v>19.744</v>
      </c>
    </row>
    <row r="23" spans="1:4">
      <c r="A23" s="321"/>
      <c r="B23" s="174" t="s">
        <v>801</v>
      </c>
      <c r="C23" s="174" t="s">
        <v>799</v>
      </c>
      <c r="D23" s="174">
        <v>2.7879999999999998</v>
      </c>
    </row>
    <row r="24" spans="1:4">
      <c r="A24" s="321" t="s">
        <v>732</v>
      </c>
      <c r="B24" s="174" t="s">
        <v>798</v>
      </c>
      <c r="C24" s="174" t="s">
        <v>799</v>
      </c>
      <c r="D24" s="174">
        <v>11.843</v>
      </c>
    </row>
    <row r="25" spans="1:4">
      <c r="A25" s="321"/>
      <c r="B25" s="174" t="s">
        <v>800</v>
      </c>
      <c r="C25" s="174" t="s">
        <v>799</v>
      </c>
      <c r="D25" s="174">
        <v>19.744</v>
      </c>
    </row>
    <row r="26" spans="1:4">
      <c r="A26" s="321"/>
      <c r="B26" s="174" t="s">
        <v>801</v>
      </c>
      <c r="C26" s="174" t="s">
        <v>799</v>
      </c>
      <c r="D26" s="174">
        <v>3.9430000000000001</v>
      </c>
    </row>
    <row r="27" spans="1:4">
      <c r="A27" s="321" t="s">
        <v>734</v>
      </c>
      <c r="B27" s="174" t="s">
        <v>798</v>
      </c>
      <c r="C27" s="174" t="s">
        <v>799</v>
      </c>
      <c r="D27" s="174">
        <v>22.751000000000001</v>
      </c>
    </row>
    <row r="28" spans="1:4">
      <c r="A28" s="321"/>
      <c r="B28" s="174" t="s">
        <v>800</v>
      </c>
      <c r="C28" s="174" t="s">
        <v>799</v>
      </c>
      <c r="D28" s="174">
        <v>21.329000000000001</v>
      </c>
    </row>
    <row r="29" spans="1:4">
      <c r="A29" s="321"/>
      <c r="B29" s="174" t="s">
        <v>801</v>
      </c>
      <c r="C29" s="174" t="s">
        <v>799</v>
      </c>
      <c r="D29" s="174">
        <v>4.1829999999999998</v>
      </c>
    </row>
    <row r="30" spans="1:4">
      <c r="A30" s="321" t="s">
        <v>736</v>
      </c>
      <c r="B30" s="174" t="s">
        <v>798</v>
      </c>
      <c r="C30" s="174" t="s">
        <v>799</v>
      </c>
      <c r="D30" s="174">
        <v>28.439</v>
      </c>
    </row>
    <row r="31" spans="1:4">
      <c r="A31" s="321"/>
      <c r="B31" s="174" t="s">
        <v>800</v>
      </c>
      <c r="C31" s="174" t="s">
        <v>799</v>
      </c>
      <c r="D31" s="174">
        <v>21.329000000000001</v>
      </c>
    </row>
    <row r="32" spans="1:4">
      <c r="A32" s="321"/>
      <c r="B32" s="174" t="s">
        <v>801</v>
      </c>
      <c r="C32" s="174" t="s">
        <v>799</v>
      </c>
      <c r="D32" s="174">
        <v>4.7030000000000003</v>
      </c>
    </row>
    <row r="33" spans="1:4">
      <c r="A33" s="321" t="s">
        <v>802</v>
      </c>
      <c r="B33" s="174" t="s">
        <v>798</v>
      </c>
      <c r="C33" s="174" t="s">
        <v>799</v>
      </c>
      <c r="D33" s="174">
        <v>74.876000000000005</v>
      </c>
    </row>
    <row r="34" spans="1:4">
      <c r="A34" s="321"/>
      <c r="B34" s="174" t="s">
        <v>800</v>
      </c>
      <c r="C34" s="174" t="s">
        <v>799</v>
      </c>
      <c r="D34" s="174">
        <v>82.147000000000006</v>
      </c>
    </row>
    <row r="35" spans="1:4">
      <c r="A35" s="321"/>
      <c r="B35" s="174" t="s">
        <v>801</v>
      </c>
      <c r="C35" s="174" t="s">
        <v>799</v>
      </c>
      <c r="D35" s="174">
        <v>15.617000000000001</v>
      </c>
    </row>
    <row r="36" spans="1:4">
      <c r="A36" s="174" t="s">
        <v>803</v>
      </c>
      <c r="B36" s="174" t="s">
        <v>804</v>
      </c>
      <c r="C36" s="174" t="s">
        <v>804</v>
      </c>
      <c r="D36" s="174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7"/>
  <sheetViews>
    <sheetView topLeftCell="A49" workbookViewId="0">
      <selection activeCell="D57" sqref="D57"/>
    </sheetView>
  </sheetViews>
  <sheetFormatPr defaultRowHeight="16.5"/>
  <sheetData>
    <row r="1" spans="1:9">
      <c r="A1" t="s">
        <v>782</v>
      </c>
      <c r="B1" t="s">
        <v>783</v>
      </c>
      <c r="C1" t="s">
        <v>784</v>
      </c>
      <c r="D1" t="s">
        <v>785</v>
      </c>
      <c r="E1" t="s">
        <v>843</v>
      </c>
      <c r="F1" t="s">
        <v>844</v>
      </c>
      <c r="G1" t="s">
        <v>845</v>
      </c>
      <c r="H1" t="s">
        <v>846</v>
      </c>
      <c r="I1" t="s">
        <v>786</v>
      </c>
    </row>
    <row r="2" spans="1:9">
      <c r="A2" t="s">
        <v>858</v>
      </c>
      <c r="B2" t="s">
        <v>860</v>
      </c>
      <c r="C2" t="s">
        <v>854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>
      <c r="A3" t="s">
        <v>858</v>
      </c>
      <c r="B3" t="s">
        <v>860</v>
      </c>
      <c r="C3" t="s">
        <v>851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>
      <c r="A4" t="s">
        <v>847</v>
      </c>
      <c r="B4" t="s">
        <v>848</v>
      </c>
      <c r="C4" t="s">
        <v>854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>
      <c r="A5" t="s">
        <v>858</v>
      </c>
      <c r="B5" t="s">
        <v>859</v>
      </c>
      <c r="C5" t="s">
        <v>854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>
      <c r="A6" t="s">
        <v>861</v>
      </c>
      <c r="B6" t="s">
        <v>862</v>
      </c>
      <c r="C6" t="s">
        <v>854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>
      <c r="A7" t="s">
        <v>864</v>
      </c>
      <c r="B7" t="s">
        <v>865</v>
      </c>
      <c r="C7" t="s">
        <v>854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>
      <c r="A8" t="s">
        <v>867</v>
      </c>
      <c r="B8" t="s">
        <v>868</v>
      </c>
      <c r="C8" t="s">
        <v>854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>
      <c r="A9" t="s">
        <v>870</v>
      </c>
      <c r="B9" t="s">
        <v>871</v>
      </c>
      <c r="C9" t="s">
        <v>854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>
      <c r="A10" t="s">
        <v>847</v>
      </c>
      <c r="B10" t="s">
        <v>848</v>
      </c>
      <c r="C10" t="s">
        <v>856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>
      <c r="A11" t="s">
        <v>858</v>
      </c>
      <c r="B11" t="s">
        <v>859</v>
      </c>
      <c r="C11" t="s">
        <v>856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>
      <c r="A12" t="s">
        <v>861</v>
      </c>
      <c r="B12" t="s">
        <v>862</v>
      </c>
      <c r="C12" t="s">
        <v>856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>
      <c r="A13" t="s">
        <v>864</v>
      </c>
      <c r="B13" t="s">
        <v>865</v>
      </c>
      <c r="C13" t="s">
        <v>856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>
      <c r="A14" t="s">
        <v>867</v>
      </c>
      <c r="B14" t="s">
        <v>868</v>
      </c>
      <c r="C14" t="s">
        <v>856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>
      <c r="A15" t="s">
        <v>870</v>
      </c>
      <c r="B15" t="s">
        <v>871</v>
      </c>
      <c r="C15" t="s">
        <v>856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>
      <c r="A16" t="s">
        <v>847</v>
      </c>
      <c r="B16" t="s">
        <v>848</v>
      </c>
      <c r="C16" t="s">
        <v>857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>
      <c r="A17" t="s">
        <v>858</v>
      </c>
      <c r="B17" t="s">
        <v>859</v>
      </c>
      <c r="C17" t="s">
        <v>857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>
      <c r="A18" t="s">
        <v>861</v>
      </c>
      <c r="B18" t="s">
        <v>862</v>
      </c>
      <c r="C18" t="s">
        <v>857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>
      <c r="A19" t="s">
        <v>864</v>
      </c>
      <c r="B19" t="s">
        <v>865</v>
      </c>
      <c r="C19" t="s">
        <v>857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>
      <c r="A20" t="s">
        <v>867</v>
      </c>
      <c r="B20" t="s">
        <v>868</v>
      </c>
      <c r="C20" t="s">
        <v>857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>
      <c r="A21" t="s">
        <v>870</v>
      </c>
      <c r="B21" t="s">
        <v>871</v>
      </c>
      <c r="C21" t="s">
        <v>857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>
      <c r="A22" t="s">
        <v>847</v>
      </c>
      <c r="B22" t="s">
        <v>848</v>
      </c>
      <c r="C22" t="s">
        <v>851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>
      <c r="A23" t="s">
        <v>858</v>
      </c>
      <c r="B23" t="s">
        <v>859</v>
      </c>
      <c r="C23" t="s">
        <v>851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>
      <c r="A24" t="s">
        <v>861</v>
      </c>
      <c r="B24" t="s">
        <v>862</v>
      </c>
      <c r="C24" t="s">
        <v>851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>
      <c r="A25" t="s">
        <v>864</v>
      </c>
      <c r="B25" t="s">
        <v>865</v>
      </c>
      <c r="C25" t="s">
        <v>851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>
      <c r="A26" t="s">
        <v>867</v>
      </c>
      <c r="B26" t="s">
        <v>868</v>
      </c>
      <c r="C26" t="s">
        <v>851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>
      <c r="A27" t="s">
        <v>870</v>
      </c>
      <c r="B27" t="s">
        <v>871</v>
      </c>
      <c r="C27" t="s">
        <v>851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>
      <c r="A28" t="s">
        <v>847</v>
      </c>
      <c r="B28" t="s">
        <v>848</v>
      </c>
      <c r="C28" t="s">
        <v>852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>
      <c r="A29" t="s">
        <v>858</v>
      </c>
      <c r="B29" t="s">
        <v>859</v>
      </c>
      <c r="C29" t="s">
        <v>852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>
      <c r="A30" t="s">
        <v>861</v>
      </c>
      <c r="B30" t="s">
        <v>862</v>
      </c>
      <c r="C30" t="s">
        <v>852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>
      <c r="A31" t="s">
        <v>864</v>
      </c>
      <c r="B31" t="s">
        <v>865</v>
      </c>
      <c r="C31" t="s">
        <v>852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>
      <c r="A32" t="s">
        <v>867</v>
      </c>
      <c r="B32" t="s">
        <v>868</v>
      </c>
      <c r="C32" t="s">
        <v>852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>
      <c r="A33" t="s">
        <v>870</v>
      </c>
      <c r="B33" t="s">
        <v>871</v>
      </c>
      <c r="C33" t="s">
        <v>852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>
      <c r="A34" t="s">
        <v>847</v>
      </c>
      <c r="B34" t="s">
        <v>848</v>
      </c>
      <c r="C34" t="s">
        <v>853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>
      <c r="A35" t="s">
        <v>858</v>
      </c>
      <c r="B35" t="s">
        <v>859</v>
      </c>
      <c r="C35" t="s">
        <v>853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>
      <c r="A36" t="s">
        <v>861</v>
      </c>
      <c r="B36" t="s">
        <v>862</v>
      </c>
      <c r="C36" t="s">
        <v>853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>
      <c r="A37" t="s">
        <v>864</v>
      </c>
      <c r="B37" t="s">
        <v>865</v>
      </c>
      <c r="C37" t="s">
        <v>853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>
      <c r="A38" t="s">
        <v>867</v>
      </c>
      <c r="B38" t="s">
        <v>868</v>
      </c>
      <c r="C38" t="s">
        <v>853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>
      <c r="A39" t="s">
        <v>870</v>
      </c>
      <c r="B39" t="s">
        <v>871</v>
      </c>
      <c r="C39" t="s">
        <v>853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>
      <c r="A40" t="s">
        <v>847</v>
      </c>
      <c r="B40" t="s">
        <v>848</v>
      </c>
      <c r="C40" t="s">
        <v>855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>
      <c r="A41" t="s">
        <v>858</v>
      </c>
      <c r="B41" t="s">
        <v>859</v>
      </c>
      <c r="C41" t="s">
        <v>855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>
      <c r="A42" t="s">
        <v>861</v>
      </c>
      <c r="B42" t="s">
        <v>863</v>
      </c>
      <c r="C42" t="s">
        <v>855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>
      <c r="A43" t="s">
        <v>861</v>
      </c>
      <c r="B43" t="s">
        <v>862</v>
      </c>
      <c r="C43" t="s">
        <v>855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>
      <c r="A44" t="s">
        <v>864</v>
      </c>
      <c r="B44" t="s">
        <v>865</v>
      </c>
      <c r="C44" t="s">
        <v>855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>
      <c r="A45" t="s">
        <v>867</v>
      </c>
      <c r="B45" t="s">
        <v>868</v>
      </c>
      <c r="C45" t="s">
        <v>855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>
      <c r="A46" t="s">
        <v>870</v>
      </c>
      <c r="B46" t="s">
        <v>871</v>
      </c>
      <c r="C46" t="s">
        <v>855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>
      <c r="A47" t="s">
        <v>847</v>
      </c>
      <c r="B47" t="s">
        <v>848</v>
      </c>
      <c r="C47" t="s">
        <v>849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>
      <c r="A48" t="s">
        <v>858</v>
      </c>
      <c r="B48" t="s">
        <v>859</v>
      </c>
      <c r="C48" t="s">
        <v>849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>
      <c r="A49" t="s">
        <v>861</v>
      </c>
      <c r="B49" t="s">
        <v>863</v>
      </c>
      <c r="C49" t="s">
        <v>849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>
      <c r="A50" t="s">
        <v>861</v>
      </c>
      <c r="B50" t="s">
        <v>862</v>
      </c>
      <c r="C50" t="s">
        <v>849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>
      <c r="A51" t="s">
        <v>864</v>
      </c>
      <c r="B51" t="s">
        <v>865</v>
      </c>
      <c r="C51" t="s">
        <v>849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>
      <c r="A52" t="s">
        <v>867</v>
      </c>
      <c r="B52" t="s">
        <v>868</v>
      </c>
      <c r="C52" t="s">
        <v>849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>
      <c r="A53" t="s">
        <v>870</v>
      </c>
      <c r="B53" t="s">
        <v>871</v>
      </c>
      <c r="C53" t="s">
        <v>849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>
      <c r="A54" t="s">
        <v>870</v>
      </c>
      <c r="B54" t="s">
        <v>872</v>
      </c>
      <c r="C54" t="s">
        <v>855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>
      <c r="A55" t="s">
        <v>870</v>
      </c>
      <c r="B55" t="s">
        <v>872</v>
      </c>
      <c r="C55" t="s">
        <v>857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>
      <c r="A56" t="s">
        <v>870</v>
      </c>
      <c r="B56" t="s">
        <v>872</v>
      </c>
      <c r="C56" t="s">
        <v>849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>
      <c r="A57" t="s">
        <v>870</v>
      </c>
      <c r="B57" t="s">
        <v>872</v>
      </c>
      <c r="C57" t="s">
        <v>853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>
      <c r="A58" t="s">
        <v>847</v>
      </c>
      <c r="B58" t="s">
        <v>850</v>
      </c>
      <c r="C58" t="s">
        <v>854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>
      <c r="A59" t="s">
        <v>861</v>
      </c>
      <c r="B59" t="s">
        <v>863</v>
      </c>
      <c r="C59" t="s">
        <v>854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>
      <c r="A60" t="s">
        <v>847</v>
      </c>
      <c r="B60" t="s">
        <v>850</v>
      </c>
      <c r="C60" t="s">
        <v>855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>
      <c r="A61" t="s">
        <v>858</v>
      </c>
      <c r="B61" t="s">
        <v>860</v>
      </c>
      <c r="C61" t="s">
        <v>855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>
      <c r="A62" t="s">
        <v>864</v>
      </c>
      <c r="B62" t="s">
        <v>866</v>
      </c>
      <c r="C62" t="s">
        <v>855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>
      <c r="A63" t="s">
        <v>867</v>
      </c>
      <c r="B63" t="s">
        <v>869</v>
      </c>
      <c r="C63" t="s">
        <v>855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>
      <c r="A64" t="s">
        <v>847</v>
      </c>
      <c r="B64" t="s">
        <v>850</v>
      </c>
      <c r="C64" t="s">
        <v>857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>
      <c r="A65" t="s">
        <v>858</v>
      </c>
      <c r="B65" t="s">
        <v>860</v>
      </c>
      <c r="C65" t="s">
        <v>857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>
      <c r="A66" t="s">
        <v>861</v>
      </c>
      <c r="B66" t="s">
        <v>863</v>
      </c>
      <c r="C66" t="s">
        <v>857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>
      <c r="A67" t="s">
        <v>864</v>
      </c>
      <c r="B67" t="s">
        <v>866</v>
      </c>
      <c r="C67" t="s">
        <v>857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>
      <c r="A68" t="s">
        <v>867</v>
      </c>
      <c r="B68" t="s">
        <v>869</v>
      </c>
      <c r="C68" t="s">
        <v>857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>
      <c r="A69" t="s">
        <v>847</v>
      </c>
      <c r="B69" t="s">
        <v>850</v>
      </c>
      <c r="C69" t="s">
        <v>851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>
      <c r="A70" t="s">
        <v>861</v>
      </c>
      <c r="B70" t="s">
        <v>863</v>
      </c>
      <c r="C70" t="s">
        <v>851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>
      <c r="A71" t="s">
        <v>847</v>
      </c>
      <c r="B71" t="s">
        <v>850</v>
      </c>
      <c r="C71" t="s">
        <v>849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>
      <c r="A72" t="s">
        <v>858</v>
      </c>
      <c r="B72" t="s">
        <v>860</v>
      </c>
      <c r="C72" t="s">
        <v>849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>
      <c r="A73" t="s">
        <v>864</v>
      </c>
      <c r="B73" t="s">
        <v>866</v>
      </c>
      <c r="C73" t="s">
        <v>849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>
      <c r="A74" t="s">
        <v>867</v>
      </c>
      <c r="B74" t="s">
        <v>869</v>
      </c>
      <c r="C74" t="s">
        <v>849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>
      <c r="A75" t="s">
        <v>847</v>
      </c>
      <c r="B75" t="s">
        <v>850</v>
      </c>
      <c r="C75" t="s">
        <v>853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>
      <c r="A76" t="s">
        <v>858</v>
      </c>
      <c r="B76" t="s">
        <v>860</v>
      </c>
      <c r="C76" t="s">
        <v>853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>
      <c r="A77" t="s">
        <v>861</v>
      </c>
      <c r="B77" t="s">
        <v>863</v>
      </c>
      <c r="C77" t="s">
        <v>853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>
      <c r="A78" t="s">
        <v>864</v>
      </c>
      <c r="B78" t="s">
        <v>866</v>
      </c>
      <c r="C78" t="s">
        <v>853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>
      <c r="A79" t="s">
        <v>867</v>
      </c>
      <c r="B79" t="s">
        <v>869</v>
      </c>
      <c r="C79" t="s">
        <v>853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>
      <c r="A80" t="s">
        <v>870</v>
      </c>
      <c r="B80" t="s">
        <v>872</v>
      </c>
      <c r="C80" t="s">
        <v>854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>
      <c r="A81" t="s">
        <v>870</v>
      </c>
      <c r="B81" t="s">
        <v>872</v>
      </c>
      <c r="C81" t="s">
        <v>856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>
      <c r="A82" t="s">
        <v>870</v>
      </c>
      <c r="B82" t="s">
        <v>872</v>
      </c>
      <c r="C82" t="s">
        <v>851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>
      <c r="A83" t="s">
        <v>870</v>
      </c>
      <c r="B83" t="s">
        <v>872</v>
      </c>
      <c r="C83" t="s">
        <v>852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>
      <c r="A84" t="s">
        <v>864</v>
      </c>
      <c r="B84" t="s">
        <v>866</v>
      </c>
      <c r="C84" t="s">
        <v>854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>
      <c r="A85" t="s">
        <v>867</v>
      </c>
      <c r="B85" t="s">
        <v>869</v>
      </c>
      <c r="C85" t="s">
        <v>854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>
      <c r="A86" t="s">
        <v>847</v>
      </c>
      <c r="B86" t="s">
        <v>850</v>
      </c>
      <c r="C86" t="s">
        <v>856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>
      <c r="A87" t="s">
        <v>858</v>
      </c>
      <c r="B87" t="s">
        <v>860</v>
      </c>
      <c r="C87" t="s">
        <v>856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>
      <c r="A88" t="s">
        <v>861</v>
      </c>
      <c r="B88" t="s">
        <v>863</v>
      </c>
      <c r="C88" t="s">
        <v>856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>
      <c r="A89" t="s">
        <v>864</v>
      </c>
      <c r="B89" t="s">
        <v>866</v>
      </c>
      <c r="C89" t="s">
        <v>856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>
      <c r="A90" t="s">
        <v>867</v>
      </c>
      <c r="B90" t="s">
        <v>869</v>
      </c>
      <c r="C90" t="s">
        <v>856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>
      <c r="A91" t="s">
        <v>864</v>
      </c>
      <c r="B91" t="s">
        <v>866</v>
      </c>
      <c r="C91" t="s">
        <v>851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>
      <c r="A92" t="s">
        <v>867</v>
      </c>
      <c r="B92" t="s">
        <v>869</v>
      </c>
      <c r="C92" t="s">
        <v>851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>
      <c r="A93" t="s">
        <v>847</v>
      </c>
      <c r="B93" t="s">
        <v>850</v>
      </c>
      <c r="C93" t="s">
        <v>852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>
      <c r="A94" t="s">
        <v>858</v>
      </c>
      <c r="B94" t="s">
        <v>860</v>
      </c>
      <c r="C94" t="s">
        <v>852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>
      <c r="A95" t="s">
        <v>861</v>
      </c>
      <c r="B95" t="s">
        <v>863</v>
      </c>
      <c r="C95" t="s">
        <v>852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>
      <c r="A96" t="s">
        <v>864</v>
      </c>
      <c r="B96" t="s">
        <v>866</v>
      </c>
      <c r="C96" t="s">
        <v>852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>
      <c r="A97" t="s">
        <v>867</v>
      </c>
      <c r="B97" t="s">
        <v>869</v>
      </c>
      <c r="C97" t="s">
        <v>852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28"/>
  <sheetViews>
    <sheetView topLeftCell="A61" workbookViewId="0">
      <selection activeCell="O14" sqref="O14"/>
    </sheetView>
  </sheetViews>
  <sheetFormatPr defaultRowHeight="16.5"/>
  <sheetData>
    <row r="1" spans="1:20">
      <c r="A1" t="s">
        <v>870</v>
      </c>
      <c r="B1" t="s">
        <v>909</v>
      </c>
      <c r="C1" t="s">
        <v>800</v>
      </c>
      <c r="D1">
        <v>1000</v>
      </c>
      <c r="E1">
        <v>0</v>
      </c>
      <c r="G1" t="s">
        <v>915</v>
      </c>
      <c r="J1">
        <v>364.2</v>
      </c>
      <c r="K1">
        <f t="shared" ref="K1:K64" si="0">J1*D1</f>
        <v>364200</v>
      </c>
      <c r="L1">
        <f t="shared" ref="L1:L64" si="1">K1/1000000</f>
        <v>0.36420000000000002</v>
      </c>
      <c r="M1">
        <f t="shared" ref="M1:M64" si="2">L1*7850</f>
        <v>2858.9700000000003</v>
      </c>
      <c r="N1">
        <f>SUM(L1:L12)</f>
        <v>4.239808</v>
      </c>
      <c r="O1">
        <f>N1*7850</f>
        <v>33282.4928</v>
      </c>
      <c r="T1" t="s">
        <v>875</v>
      </c>
    </row>
    <row r="2" spans="1:20">
      <c r="A2" t="s">
        <v>870</v>
      </c>
      <c r="B2" t="s">
        <v>910</v>
      </c>
      <c r="C2" t="s">
        <v>800</v>
      </c>
      <c r="D2">
        <v>1000</v>
      </c>
      <c r="E2">
        <v>0</v>
      </c>
      <c r="G2" t="s">
        <v>915</v>
      </c>
      <c r="J2" s="171">
        <v>364.2</v>
      </c>
      <c r="K2" s="171">
        <f t="shared" si="0"/>
        <v>364200</v>
      </c>
      <c r="L2" s="171">
        <f t="shared" si="1"/>
        <v>0.36420000000000002</v>
      </c>
      <c r="M2" s="171">
        <f t="shared" si="2"/>
        <v>2858.9700000000003</v>
      </c>
      <c r="N2">
        <f>SUM(L13:L20)</f>
        <v>0.94787994479999993</v>
      </c>
      <c r="O2" s="171">
        <f t="shared" ref="O2:O11" si="3">N2*7850</f>
        <v>7440.8575666799998</v>
      </c>
      <c r="T2" t="s">
        <v>875</v>
      </c>
    </row>
    <row r="3" spans="1:20">
      <c r="A3" t="s">
        <v>870</v>
      </c>
      <c r="B3" t="s">
        <v>911</v>
      </c>
      <c r="C3" t="s">
        <v>800</v>
      </c>
      <c r="D3">
        <v>1000</v>
      </c>
      <c r="E3">
        <v>0</v>
      </c>
      <c r="G3" t="s">
        <v>916</v>
      </c>
      <c r="J3" s="171">
        <v>215.64</v>
      </c>
      <c r="K3" s="171">
        <f t="shared" si="0"/>
        <v>215640</v>
      </c>
      <c r="L3" s="171">
        <f t="shared" si="1"/>
        <v>0.21564</v>
      </c>
      <c r="M3" s="171">
        <f t="shared" si="2"/>
        <v>1692.7739999999999</v>
      </c>
      <c r="N3">
        <f>SUM(L21:L38)</f>
        <v>4.4678399999999998</v>
      </c>
      <c r="O3" s="171">
        <f t="shared" si="3"/>
        <v>35072.544000000002</v>
      </c>
      <c r="T3" t="s">
        <v>875</v>
      </c>
    </row>
    <row r="4" spans="1:20">
      <c r="A4" t="s">
        <v>870</v>
      </c>
      <c r="B4" t="s">
        <v>913</v>
      </c>
      <c r="C4" t="s">
        <v>800</v>
      </c>
      <c r="D4">
        <v>1000</v>
      </c>
      <c r="E4">
        <v>0</v>
      </c>
      <c r="G4" t="s">
        <v>916</v>
      </c>
      <c r="J4" s="171">
        <v>215.64</v>
      </c>
      <c r="K4" s="171">
        <f t="shared" si="0"/>
        <v>215640</v>
      </c>
      <c r="L4" s="171">
        <f t="shared" si="1"/>
        <v>0.21564</v>
      </c>
      <c r="M4" s="171">
        <f t="shared" si="2"/>
        <v>1692.7739999999999</v>
      </c>
      <c r="O4" s="171">
        <f>SUM(O1:O3)</f>
        <v>75795.894366680004</v>
      </c>
      <c r="P4">
        <f>O4/1292</f>
        <v>58.665552915387003</v>
      </c>
      <c r="T4" t="s">
        <v>875</v>
      </c>
    </row>
    <row r="5" spans="1:20">
      <c r="A5" t="s">
        <v>870</v>
      </c>
      <c r="B5" t="s">
        <v>900</v>
      </c>
      <c r="C5" t="s">
        <v>800</v>
      </c>
      <c r="D5">
        <v>1000</v>
      </c>
      <c r="E5">
        <v>0</v>
      </c>
      <c r="G5" t="s">
        <v>914</v>
      </c>
      <c r="J5" s="171">
        <v>405.28</v>
      </c>
      <c r="K5" s="171">
        <f t="shared" si="0"/>
        <v>405280</v>
      </c>
      <c r="L5" s="171">
        <f t="shared" si="1"/>
        <v>0.40527999999999997</v>
      </c>
      <c r="M5" s="171">
        <f t="shared" si="2"/>
        <v>3181.4479999999999</v>
      </c>
      <c r="N5">
        <f>SUM(L77:L88)</f>
        <v>3.1952799999999995</v>
      </c>
      <c r="O5" s="171">
        <f t="shared" si="3"/>
        <v>25082.947999999997</v>
      </c>
      <c r="P5" s="171">
        <f t="shared" ref="P5:P12" si="4">O5/1292</f>
        <v>19.414046439628482</v>
      </c>
      <c r="T5" t="s">
        <v>875</v>
      </c>
    </row>
    <row r="6" spans="1:20">
      <c r="A6" t="s">
        <v>870</v>
      </c>
      <c r="B6" t="s">
        <v>902</v>
      </c>
      <c r="C6" t="s">
        <v>800</v>
      </c>
      <c r="D6">
        <v>900</v>
      </c>
      <c r="E6">
        <v>0</v>
      </c>
      <c r="G6" t="s">
        <v>914</v>
      </c>
      <c r="J6" s="171">
        <v>405.28</v>
      </c>
      <c r="K6" s="171">
        <f t="shared" si="0"/>
        <v>364752</v>
      </c>
      <c r="L6" s="171">
        <f t="shared" si="1"/>
        <v>0.36475200000000002</v>
      </c>
      <c r="M6" s="171">
        <f t="shared" si="2"/>
        <v>2863.3032000000003</v>
      </c>
      <c r="N6">
        <f>SUM(L89:L96)</f>
        <v>0.4583247585600001</v>
      </c>
      <c r="O6" s="171">
        <f t="shared" si="3"/>
        <v>3597.8493546960008</v>
      </c>
      <c r="P6" s="171">
        <f t="shared" si="4"/>
        <v>2.7847131228297219</v>
      </c>
      <c r="T6" t="s">
        <v>875</v>
      </c>
    </row>
    <row r="7" spans="1:20">
      <c r="A7" t="s">
        <v>870</v>
      </c>
      <c r="B7" t="s">
        <v>903</v>
      </c>
      <c r="C7" t="s">
        <v>800</v>
      </c>
      <c r="D7">
        <v>900</v>
      </c>
      <c r="E7">
        <v>0</v>
      </c>
      <c r="G7" t="s">
        <v>914</v>
      </c>
      <c r="J7" s="171">
        <v>405.28</v>
      </c>
      <c r="K7" s="171">
        <f t="shared" si="0"/>
        <v>364752</v>
      </c>
      <c r="L7" s="171">
        <f t="shared" si="1"/>
        <v>0.36475200000000002</v>
      </c>
      <c r="M7" s="171">
        <f t="shared" si="2"/>
        <v>2863.3032000000003</v>
      </c>
      <c r="N7">
        <f>SUM(L97:L114)</f>
        <v>3.9299200000000014</v>
      </c>
      <c r="O7" s="171">
        <f t="shared" si="3"/>
        <v>30849.87200000001</v>
      </c>
      <c r="P7" s="171">
        <f t="shared" si="4"/>
        <v>23.87760990712075</v>
      </c>
      <c r="T7" t="s">
        <v>875</v>
      </c>
    </row>
    <row r="8" spans="1:20">
      <c r="A8" t="s">
        <v>870</v>
      </c>
      <c r="B8" t="s">
        <v>904</v>
      </c>
      <c r="C8" t="s">
        <v>800</v>
      </c>
      <c r="D8">
        <v>1000</v>
      </c>
      <c r="E8">
        <v>0</v>
      </c>
      <c r="G8" t="s">
        <v>914</v>
      </c>
      <c r="J8" s="171">
        <v>405.28</v>
      </c>
      <c r="K8" s="171">
        <f t="shared" si="0"/>
        <v>405280</v>
      </c>
      <c r="L8" s="171">
        <f t="shared" si="1"/>
        <v>0.40527999999999997</v>
      </c>
      <c r="M8" s="171">
        <f t="shared" si="2"/>
        <v>3181.4479999999999</v>
      </c>
      <c r="O8" s="171">
        <f>SUM(O5:O7)</f>
        <v>59530.669354696009</v>
      </c>
      <c r="P8" s="171">
        <f t="shared" si="4"/>
        <v>46.076369469578957</v>
      </c>
      <c r="T8" t="s">
        <v>875</v>
      </c>
    </row>
    <row r="9" spans="1:20">
      <c r="A9" t="s">
        <v>870</v>
      </c>
      <c r="B9" t="s">
        <v>905</v>
      </c>
      <c r="C9" t="s">
        <v>800</v>
      </c>
      <c r="D9">
        <v>1000</v>
      </c>
      <c r="E9">
        <v>0</v>
      </c>
      <c r="G9" t="s">
        <v>914</v>
      </c>
      <c r="J9" s="171">
        <v>405.28</v>
      </c>
      <c r="K9" s="171">
        <f t="shared" si="0"/>
        <v>405280</v>
      </c>
      <c r="L9" s="171">
        <f t="shared" si="1"/>
        <v>0.40527999999999997</v>
      </c>
      <c r="M9" s="171">
        <f t="shared" si="2"/>
        <v>3181.4479999999999</v>
      </c>
      <c r="N9">
        <f>SUM(L153:L164)</f>
        <v>2.9402879999999998</v>
      </c>
      <c r="O9" s="171">
        <f t="shared" si="3"/>
        <v>23081.2608</v>
      </c>
      <c r="P9" s="171">
        <f t="shared" si="4"/>
        <v>17.864752941176469</v>
      </c>
      <c r="T9" t="s">
        <v>875</v>
      </c>
    </row>
    <row r="10" spans="1:20">
      <c r="A10" t="s">
        <v>870</v>
      </c>
      <c r="B10" t="s">
        <v>906</v>
      </c>
      <c r="C10" t="s">
        <v>800</v>
      </c>
      <c r="D10">
        <v>900</v>
      </c>
      <c r="E10">
        <v>0</v>
      </c>
      <c r="G10" t="s">
        <v>914</v>
      </c>
      <c r="J10" s="171">
        <v>405.28</v>
      </c>
      <c r="K10" s="171">
        <f t="shared" si="0"/>
        <v>364752</v>
      </c>
      <c r="L10" s="171">
        <f t="shared" si="1"/>
        <v>0.36475200000000002</v>
      </c>
      <c r="M10" s="171">
        <f t="shared" si="2"/>
        <v>2863.3032000000003</v>
      </c>
      <c r="N10">
        <f>SUM(L165:L172)</f>
        <v>0.53160903528000003</v>
      </c>
      <c r="O10" s="171">
        <f t="shared" si="3"/>
        <v>4173.1309269479998</v>
      </c>
      <c r="P10" s="171">
        <f t="shared" si="4"/>
        <v>3.2299774976377709</v>
      </c>
      <c r="T10" t="s">
        <v>875</v>
      </c>
    </row>
    <row r="11" spans="1:20">
      <c r="A11" t="s">
        <v>870</v>
      </c>
      <c r="B11" t="s">
        <v>907</v>
      </c>
      <c r="C11" t="s">
        <v>800</v>
      </c>
      <c r="D11">
        <v>900</v>
      </c>
      <c r="E11">
        <v>0</v>
      </c>
      <c r="G11" t="s">
        <v>914</v>
      </c>
      <c r="J11" s="171">
        <v>405.28</v>
      </c>
      <c r="K11" s="171">
        <f t="shared" si="0"/>
        <v>364752</v>
      </c>
      <c r="L11" s="171">
        <f t="shared" si="1"/>
        <v>0.36475200000000002</v>
      </c>
      <c r="M11" s="171">
        <f t="shared" si="2"/>
        <v>2863.3032000000003</v>
      </c>
      <c r="N11">
        <f>SUM(L173:L190)</f>
        <v>3.5974399999999993</v>
      </c>
      <c r="O11" s="171">
        <f t="shared" si="3"/>
        <v>28239.903999999995</v>
      </c>
      <c r="P11" s="171">
        <f t="shared" si="4"/>
        <v>21.85751083591331</v>
      </c>
      <c r="T11" t="s">
        <v>875</v>
      </c>
    </row>
    <row r="12" spans="1:20">
      <c r="A12" t="s">
        <v>870</v>
      </c>
      <c r="B12" t="s">
        <v>908</v>
      </c>
      <c r="C12" t="s">
        <v>800</v>
      </c>
      <c r="D12">
        <v>1000</v>
      </c>
      <c r="E12">
        <v>0</v>
      </c>
      <c r="G12" t="s">
        <v>914</v>
      </c>
      <c r="J12" s="171">
        <v>405.28</v>
      </c>
      <c r="K12" s="171">
        <f t="shared" si="0"/>
        <v>405280</v>
      </c>
      <c r="L12" s="171">
        <f t="shared" si="1"/>
        <v>0.40527999999999997</v>
      </c>
      <c r="M12" s="171">
        <f t="shared" si="2"/>
        <v>3181.4479999999999</v>
      </c>
      <c r="O12">
        <f>SUM(O9:O11)</f>
        <v>55494.295726947996</v>
      </c>
      <c r="P12" s="171">
        <f t="shared" si="4"/>
        <v>42.952241274727548</v>
      </c>
      <c r="T12" t="s">
        <v>875</v>
      </c>
    </row>
    <row r="13" spans="1:20">
      <c r="A13" t="s">
        <v>870</v>
      </c>
      <c r="B13" t="s">
        <v>921</v>
      </c>
      <c r="C13" t="s">
        <v>801</v>
      </c>
      <c r="D13">
        <v>640.31200000000001</v>
      </c>
      <c r="E13">
        <v>0</v>
      </c>
      <c r="G13" t="s">
        <v>927</v>
      </c>
      <c r="J13" s="171">
        <v>60</v>
      </c>
      <c r="K13" s="171">
        <f t="shared" si="0"/>
        <v>38418.720000000001</v>
      </c>
      <c r="L13" s="171">
        <f t="shared" si="1"/>
        <v>3.8418720000000003E-2</v>
      </c>
      <c r="M13" s="171">
        <f t="shared" si="2"/>
        <v>301.58695200000005</v>
      </c>
      <c r="T13" t="s">
        <v>875</v>
      </c>
    </row>
    <row r="14" spans="1:20">
      <c r="A14" t="s">
        <v>870</v>
      </c>
      <c r="B14" t="s">
        <v>923</v>
      </c>
      <c r="C14" t="s">
        <v>801</v>
      </c>
      <c r="D14">
        <v>640.31200000000001</v>
      </c>
      <c r="E14">
        <v>0</v>
      </c>
      <c r="G14" t="s">
        <v>927</v>
      </c>
      <c r="J14" s="171">
        <v>60</v>
      </c>
      <c r="K14" s="171">
        <f t="shared" si="0"/>
        <v>38418.720000000001</v>
      </c>
      <c r="L14" s="171">
        <f t="shared" si="1"/>
        <v>3.8418720000000003E-2</v>
      </c>
      <c r="M14" s="171">
        <f t="shared" si="2"/>
        <v>301.58695200000005</v>
      </c>
      <c r="T14" t="s">
        <v>875</v>
      </c>
    </row>
    <row r="15" spans="1:20">
      <c r="A15" t="s">
        <v>870</v>
      </c>
      <c r="B15" t="s">
        <v>924</v>
      </c>
      <c r="C15" t="s">
        <v>801</v>
      </c>
      <c r="D15">
        <v>640.31200000000001</v>
      </c>
      <c r="E15">
        <v>0</v>
      </c>
      <c r="G15" t="s">
        <v>927</v>
      </c>
      <c r="J15" s="171">
        <v>60</v>
      </c>
      <c r="K15" s="171">
        <f t="shared" si="0"/>
        <v>38418.720000000001</v>
      </c>
      <c r="L15" s="171">
        <f t="shared" si="1"/>
        <v>3.8418720000000003E-2</v>
      </c>
      <c r="M15" s="171">
        <f t="shared" si="2"/>
        <v>301.58695200000005</v>
      </c>
      <c r="T15" t="s">
        <v>875</v>
      </c>
    </row>
    <row r="16" spans="1:20">
      <c r="A16" t="s">
        <v>870</v>
      </c>
      <c r="B16" t="s">
        <v>925</v>
      </c>
      <c r="C16" t="s">
        <v>801</v>
      </c>
      <c r="D16">
        <v>640.31200000000001</v>
      </c>
      <c r="E16">
        <v>0</v>
      </c>
      <c r="G16" t="s">
        <v>927</v>
      </c>
      <c r="J16" s="171">
        <v>60</v>
      </c>
      <c r="K16" s="171">
        <f t="shared" si="0"/>
        <v>38418.720000000001</v>
      </c>
      <c r="L16" s="171">
        <f t="shared" si="1"/>
        <v>3.8418720000000003E-2</v>
      </c>
      <c r="M16" s="171">
        <f t="shared" si="2"/>
        <v>301.58695200000005</v>
      </c>
      <c r="T16" t="s">
        <v>875</v>
      </c>
    </row>
    <row r="17" spans="1:20">
      <c r="A17" t="s">
        <v>870</v>
      </c>
      <c r="B17" t="s">
        <v>917</v>
      </c>
      <c r="C17" t="s">
        <v>801</v>
      </c>
      <c r="D17">
        <v>583.63099999999997</v>
      </c>
      <c r="E17">
        <v>0</v>
      </c>
      <c r="G17" t="s">
        <v>899</v>
      </c>
      <c r="J17" s="171">
        <v>340.2</v>
      </c>
      <c r="K17" s="171">
        <f t="shared" si="0"/>
        <v>198551.26619999998</v>
      </c>
      <c r="L17" s="171">
        <f t="shared" si="1"/>
        <v>0.19855126619999999</v>
      </c>
      <c r="M17" s="171">
        <f t="shared" si="2"/>
        <v>1558.6274396699998</v>
      </c>
      <c r="T17" t="s">
        <v>875</v>
      </c>
    </row>
    <row r="18" spans="1:20">
      <c r="A18" t="s">
        <v>870</v>
      </c>
      <c r="B18" t="s">
        <v>918</v>
      </c>
      <c r="C18" t="s">
        <v>801</v>
      </c>
      <c r="D18">
        <v>583.63099999999997</v>
      </c>
      <c r="E18">
        <v>0</v>
      </c>
      <c r="G18" t="s">
        <v>899</v>
      </c>
      <c r="J18" s="171">
        <v>340.2</v>
      </c>
      <c r="K18" s="171">
        <f t="shared" si="0"/>
        <v>198551.26619999998</v>
      </c>
      <c r="L18" s="171">
        <f t="shared" si="1"/>
        <v>0.19855126619999999</v>
      </c>
      <c r="M18" s="171">
        <f t="shared" si="2"/>
        <v>1558.6274396699998</v>
      </c>
      <c r="T18" t="s">
        <v>875</v>
      </c>
    </row>
    <row r="19" spans="1:20">
      <c r="A19" t="s">
        <v>870</v>
      </c>
      <c r="B19" t="s">
        <v>919</v>
      </c>
      <c r="C19" t="s">
        <v>801</v>
      </c>
      <c r="D19">
        <v>583.63099999999997</v>
      </c>
      <c r="E19">
        <v>0</v>
      </c>
      <c r="G19" t="s">
        <v>899</v>
      </c>
      <c r="J19" s="171">
        <v>340.2</v>
      </c>
      <c r="K19" s="171">
        <f t="shared" si="0"/>
        <v>198551.26619999998</v>
      </c>
      <c r="L19" s="171">
        <f t="shared" si="1"/>
        <v>0.19855126619999999</v>
      </c>
      <c r="M19" s="171">
        <f t="shared" si="2"/>
        <v>1558.6274396699998</v>
      </c>
      <c r="T19" t="s">
        <v>875</v>
      </c>
    </row>
    <row r="20" spans="1:20">
      <c r="A20" t="s">
        <v>870</v>
      </c>
      <c r="B20" t="s">
        <v>920</v>
      </c>
      <c r="C20" t="s">
        <v>801</v>
      </c>
      <c r="D20">
        <v>583.63099999999997</v>
      </c>
      <c r="E20">
        <v>0</v>
      </c>
      <c r="G20" t="s">
        <v>899</v>
      </c>
      <c r="J20" s="171">
        <v>340.2</v>
      </c>
      <c r="K20" s="171">
        <f t="shared" si="0"/>
        <v>198551.26619999998</v>
      </c>
      <c r="L20" s="171">
        <f t="shared" si="1"/>
        <v>0.19855126619999999</v>
      </c>
      <c r="M20" s="171">
        <f t="shared" si="2"/>
        <v>1558.6274396699998</v>
      </c>
      <c r="T20" t="s">
        <v>875</v>
      </c>
    </row>
    <row r="21" spans="1:20">
      <c r="A21" t="s">
        <v>870</v>
      </c>
      <c r="B21" t="s">
        <v>873</v>
      </c>
      <c r="C21" t="s">
        <v>798</v>
      </c>
      <c r="D21">
        <v>400</v>
      </c>
      <c r="E21">
        <v>0</v>
      </c>
      <c r="G21" t="s">
        <v>896</v>
      </c>
      <c r="J21" s="171">
        <v>1700</v>
      </c>
      <c r="K21" s="171">
        <f t="shared" si="0"/>
        <v>680000</v>
      </c>
      <c r="L21" s="171">
        <f t="shared" si="1"/>
        <v>0.68</v>
      </c>
      <c r="M21" s="171">
        <f t="shared" si="2"/>
        <v>5338</v>
      </c>
      <c r="T21" t="s">
        <v>875</v>
      </c>
    </row>
    <row r="22" spans="1:20">
      <c r="A22" t="s">
        <v>870</v>
      </c>
      <c r="B22" t="s">
        <v>876</v>
      </c>
      <c r="C22" t="s">
        <v>798</v>
      </c>
      <c r="D22">
        <v>400</v>
      </c>
      <c r="E22">
        <v>0</v>
      </c>
      <c r="G22" t="s">
        <v>896</v>
      </c>
      <c r="J22" s="171">
        <v>1700</v>
      </c>
      <c r="K22" s="171">
        <f t="shared" si="0"/>
        <v>680000</v>
      </c>
      <c r="L22" s="171">
        <f t="shared" si="1"/>
        <v>0.68</v>
      </c>
      <c r="M22" s="171">
        <f t="shared" si="2"/>
        <v>5338</v>
      </c>
      <c r="T22" t="s">
        <v>875</v>
      </c>
    </row>
    <row r="23" spans="1:20">
      <c r="A23" t="s">
        <v>870</v>
      </c>
      <c r="B23" t="s">
        <v>884</v>
      </c>
      <c r="C23" t="s">
        <v>798</v>
      </c>
      <c r="D23">
        <v>400</v>
      </c>
      <c r="E23">
        <v>0</v>
      </c>
      <c r="G23" t="s">
        <v>896</v>
      </c>
      <c r="J23" s="171">
        <v>1700</v>
      </c>
      <c r="K23" s="171">
        <f t="shared" si="0"/>
        <v>680000</v>
      </c>
      <c r="L23" s="171">
        <f t="shared" si="1"/>
        <v>0.68</v>
      </c>
      <c r="M23" s="171">
        <f t="shared" si="2"/>
        <v>5338</v>
      </c>
      <c r="T23" t="s">
        <v>875</v>
      </c>
    </row>
    <row r="24" spans="1:20">
      <c r="A24" t="s">
        <v>870</v>
      </c>
      <c r="B24" t="s">
        <v>885</v>
      </c>
      <c r="C24" t="s">
        <v>798</v>
      </c>
      <c r="D24">
        <v>400</v>
      </c>
      <c r="E24">
        <v>0</v>
      </c>
      <c r="G24" t="s">
        <v>896</v>
      </c>
      <c r="J24" s="171">
        <v>1700</v>
      </c>
      <c r="K24" s="171">
        <f t="shared" si="0"/>
        <v>680000</v>
      </c>
      <c r="L24" s="171">
        <f t="shared" si="1"/>
        <v>0.68</v>
      </c>
      <c r="M24" s="171">
        <f t="shared" si="2"/>
        <v>5338</v>
      </c>
      <c r="T24" t="s">
        <v>875</v>
      </c>
    </row>
    <row r="25" spans="1:20">
      <c r="A25" t="s">
        <v>870</v>
      </c>
      <c r="B25" t="s">
        <v>886</v>
      </c>
      <c r="C25" t="s">
        <v>798</v>
      </c>
      <c r="D25">
        <v>400</v>
      </c>
      <c r="E25">
        <v>0</v>
      </c>
      <c r="G25" t="s">
        <v>899</v>
      </c>
      <c r="J25">
        <v>340.2</v>
      </c>
      <c r="K25" s="171">
        <f t="shared" si="0"/>
        <v>136080</v>
      </c>
      <c r="L25" s="171">
        <f t="shared" si="1"/>
        <v>0.13608000000000001</v>
      </c>
      <c r="M25" s="171">
        <f t="shared" si="2"/>
        <v>1068.2280000000001</v>
      </c>
      <c r="T25" t="s">
        <v>875</v>
      </c>
    </row>
    <row r="26" spans="1:20">
      <c r="A26" t="s">
        <v>870</v>
      </c>
      <c r="B26" t="s">
        <v>888</v>
      </c>
      <c r="C26" t="s">
        <v>798</v>
      </c>
      <c r="D26">
        <v>400</v>
      </c>
      <c r="E26">
        <v>0</v>
      </c>
      <c r="G26" t="s">
        <v>899</v>
      </c>
      <c r="J26" s="171">
        <v>340.2</v>
      </c>
      <c r="K26" s="171">
        <f t="shared" si="0"/>
        <v>136080</v>
      </c>
      <c r="L26" s="171">
        <f t="shared" si="1"/>
        <v>0.13608000000000001</v>
      </c>
      <c r="M26" s="171">
        <f t="shared" si="2"/>
        <v>1068.2280000000001</v>
      </c>
      <c r="T26" t="s">
        <v>875</v>
      </c>
    </row>
    <row r="27" spans="1:20">
      <c r="A27" t="s">
        <v>870</v>
      </c>
      <c r="B27" t="s">
        <v>889</v>
      </c>
      <c r="C27" t="s">
        <v>798</v>
      </c>
      <c r="D27">
        <v>400</v>
      </c>
      <c r="E27">
        <v>0</v>
      </c>
      <c r="G27" t="s">
        <v>899</v>
      </c>
      <c r="J27" s="171">
        <v>340.2</v>
      </c>
      <c r="K27" s="171">
        <f t="shared" si="0"/>
        <v>136080</v>
      </c>
      <c r="L27" s="171">
        <f t="shared" si="1"/>
        <v>0.13608000000000001</v>
      </c>
      <c r="M27" s="171">
        <f t="shared" si="2"/>
        <v>1068.2280000000001</v>
      </c>
      <c r="T27" t="s">
        <v>875</v>
      </c>
    </row>
    <row r="28" spans="1:20">
      <c r="A28" t="s">
        <v>870</v>
      </c>
      <c r="B28" t="s">
        <v>890</v>
      </c>
      <c r="C28" t="s">
        <v>798</v>
      </c>
      <c r="D28">
        <v>400</v>
      </c>
      <c r="E28">
        <v>0</v>
      </c>
      <c r="G28" t="s">
        <v>899</v>
      </c>
      <c r="J28" s="171">
        <v>340.2</v>
      </c>
      <c r="K28" s="171">
        <f t="shared" si="0"/>
        <v>136080</v>
      </c>
      <c r="L28" s="171">
        <f t="shared" si="1"/>
        <v>0.13608000000000001</v>
      </c>
      <c r="M28" s="171">
        <f t="shared" si="2"/>
        <v>1068.2280000000001</v>
      </c>
      <c r="T28" t="s">
        <v>875</v>
      </c>
    </row>
    <row r="29" spans="1:20">
      <c r="A29" t="s">
        <v>870</v>
      </c>
      <c r="B29" t="s">
        <v>877</v>
      </c>
      <c r="C29" t="s">
        <v>798</v>
      </c>
      <c r="D29">
        <v>400</v>
      </c>
      <c r="E29">
        <v>0</v>
      </c>
      <c r="G29" t="s">
        <v>897</v>
      </c>
      <c r="J29" s="171">
        <v>300.88</v>
      </c>
      <c r="K29" s="171">
        <f t="shared" si="0"/>
        <v>120352</v>
      </c>
      <c r="L29" s="171">
        <f t="shared" si="1"/>
        <v>0.120352</v>
      </c>
      <c r="M29" s="171">
        <f t="shared" si="2"/>
        <v>944.76319999999998</v>
      </c>
      <c r="T29" t="s">
        <v>875</v>
      </c>
    </row>
    <row r="30" spans="1:20">
      <c r="A30" t="s">
        <v>870</v>
      </c>
      <c r="B30" t="s">
        <v>879</v>
      </c>
      <c r="C30" t="s">
        <v>798</v>
      </c>
      <c r="D30">
        <v>400</v>
      </c>
      <c r="E30">
        <v>0</v>
      </c>
      <c r="G30" t="s">
        <v>897</v>
      </c>
      <c r="J30" s="171">
        <v>300.88</v>
      </c>
      <c r="K30" s="171">
        <f t="shared" si="0"/>
        <v>120352</v>
      </c>
      <c r="L30" s="171">
        <f t="shared" si="1"/>
        <v>0.120352</v>
      </c>
      <c r="M30" s="171">
        <f t="shared" si="2"/>
        <v>944.76319999999998</v>
      </c>
      <c r="T30" t="s">
        <v>875</v>
      </c>
    </row>
    <row r="31" spans="1:20">
      <c r="A31" t="s">
        <v>870</v>
      </c>
      <c r="B31" t="s">
        <v>880</v>
      </c>
      <c r="C31" t="s">
        <v>798</v>
      </c>
      <c r="D31">
        <v>400</v>
      </c>
      <c r="E31">
        <v>0</v>
      </c>
      <c r="G31" t="s">
        <v>897</v>
      </c>
      <c r="J31" s="171">
        <v>300.88</v>
      </c>
      <c r="K31" s="171">
        <f t="shared" si="0"/>
        <v>120352</v>
      </c>
      <c r="L31" s="171">
        <f t="shared" si="1"/>
        <v>0.120352</v>
      </c>
      <c r="M31" s="171">
        <f t="shared" si="2"/>
        <v>944.76319999999998</v>
      </c>
      <c r="T31" t="s">
        <v>875</v>
      </c>
    </row>
    <row r="32" spans="1:20">
      <c r="A32" t="s">
        <v>870</v>
      </c>
      <c r="B32" t="s">
        <v>881</v>
      </c>
      <c r="C32" t="s">
        <v>798</v>
      </c>
      <c r="D32">
        <v>400</v>
      </c>
      <c r="E32">
        <v>0</v>
      </c>
      <c r="G32" t="s">
        <v>897</v>
      </c>
      <c r="J32" s="171">
        <v>300.88</v>
      </c>
      <c r="K32" s="171">
        <f t="shared" si="0"/>
        <v>120352</v>
      </c>
      <c r="L32" s="171">
        <f t="shared" si="1"/>
        <v>0.120352</v>
      </c>
      <c r="M32" s="171">
        <f t="shared" si="2"/>
        <v>944.76319999999998</v>
      </c>
      <c r="T32" t="s">
        <v>875</v>
      </c>
    </row>
    <row r="33" spans="1:20">
      <c r="A33" t="s">
        <v>870</v>
      </c>
      <c r="B33" t="s">
        <v>882</v>
      </c>
      <c r="C33" t="s">
        <v>798</v>
      </c>
      <c r="D33">
        <v>400</v>
      </c>
      <c r="E33">
        <v>0</v>
      </c>
      <c r="G33" t="s">
        <v>897</v>
      </c>
      <c r="J33">
        <v>300.88</v>
      </c>
      <c r="K33" s="171">
        <f t="shared" si="0"/>
        <v>120352</v>
      </c>
      <c r="L33" s="171">
        <f t="shared" si="1"/>
        <v>0.120352</v>
      </c>
      <c r="M33" s="171">
        <f t="shared" si="2"/>
        <v>944.76319999999998</v>
      </c>
      <c r="T33" t="s">
        <v>875</v>
      </c>
    </row>
    <row r="34" spans="1:20">
      <c r="A34" t="s">
        <v>870</v>
      </c>
      <c r="B34" t="s">
        <v>883</v>
      </c>
      <c r="C34" t="s">
        <v>798</v>
      </c>
      <c r="D34">
        <v>400</v>
      </c>
      <c r="E34">
        <v>0</v>
      </c>
      <c r="G34" t="s">
        <v>897</v>
      </c>
      <c r="J34" s="171">
        <v>300.88</v>
      </c>
      <c r="K34" s="171">
        <f t="shared" si="0"/>
        <v>120352</v>
      </c>
      <c r="L34" s="171">
        <f t="shared" si="1"/>
        <v>0.120352</v>
      </c>
      <c r="M34" s="171">
        <f t="shared" si="2"/>
        <v>944.76319999999998</v>
      </c>
      <c r="T34" t="s">
        <v>875</v>
      </c>
    </row>
    <row r="35" spans="1:20">
      <c r="A35" t="s">
        <v>870</v>
      </c>
      <c r="B35" t="s">
        <v>891</v>
      </c>
      <c r="C35" t="s">
        <v>798</v>
      </c>
      <c r="D35">
        <v>400</v>
      </c>
      <c r="E35">
        <v>0</v>
      </c>
      <c r="G35" t="s">
        <v>897</v>
      </c>
      <c r="J35" s="171">
        <v>300.88</v>
      </c>
      <c r="K35" s="171">
        <f t="shared" si="0"/>
        <v>120352</v>
      </c>
      <c r="L35" s="171">
        <f t="shared" si="1"/>
        <v>0.120352</v>
      </c>
      <c r="M35" s="171">
        <f t="shared" si="2"/>
        <v>944.76319999999998</v>
      </c>
      <c r="T35" t="s">
        <v>875</v>
      </c>
    </row>
    <row r="36" spans="1:20">
      <c r="A36" t="s">
        <v>870</v>
      </c>
      <c r="B36" t="s">
        <v>893</v>
      </c>
      <c r="C36" t="s">
        <v>798</v>
      </c>
      <c r="D36">
        <v>400</v>
      </c>
      <c r="E36">
        <v>0</v>
      </c>
      <c r="G36" t="s">
        <v>897</v>
      </c>
      <c r="J36" s="171">
        <v>300.88</v>
      </c>
      <c r="K36" s="171">
        <f t="shared" si="0"/>
        <v>120352</v>
      </c>
      <c r="L36" s="171">
        <f t="shared" si="1"/>
        <v>0.120352</v>
      </c>
      <c r="M36" s="171">
        <f t="shared" si="2"/>
        <v>944.76319999999998</v>
      </c>
      <c r="T36" t="s">
        <v>875</v>
      </c>
    </row>
    <row r="37" spans="1:20">
      <c r="A37" t="s">
        <v>870</v>
      </c>
      <c r="B37" t="s">
        <v>894</v>
      </c>
      <c r="C37" t="s">
        <v>798</v>
      </c>
      <c r="D37">
        <v>400</v>
      </c>
      <c r="E37">
        <v>0</v>
      </c>
      <c r="G37" t="s">
        <v>897</v>
      </c>
      <c r="J37" s="171">
        <v>300.88</v>
      </c>
      <c r="K37" s="171">
        <f t="shared" si="0"/>
        <v>120352</v>
      </c>
      <c r="L37" s="171">
        <f t="shared" si="1"/>
        <v>0.120352</v>
      </c>
      <c r="M37" s="171">
        <f t="shared" si="2"/>
        <v>944.76319999999998</v>
      </c>
      <c r="T37" t="s">
        <v>875</v>
      </c>
    </row>
    <row r="38" spans="1:20">
      <c r="A38" t="s">
        <v>870</v>
      </c>
      <c r="B38" t="s">
        <v>895</v>
      </c>
      <c r="C38" t="s">
        <v>798</v>
      </c>
      <c r="D38">
        <v>400</v>
      </c>
      <c r="E38">
        <v>0</v>
      </c>
      <c r="G38" t="s">
        <v>897</v>
      </c>
      <c r="J38" s="171">
        <v>300.88</v>
      </c>
      <c r="K38" s="171">
        <f t="shared" si="0"/>
        <v>120352</v>
      </c>
      <c r="L38" s="171">
        <f t="shared" si="1"/>
        <v>0.120352</v>
      </c>
      <c r="M38" s="171">
        <f t="shared" si="2"/>
        <v>944.76319999999998</v>
      </c>
      <c r="T38" t="s">
        <v>875</v>
      </c>
    </row>
    <row r="39" spans="1:20">
      <c r="A39" t="s">
        <v>867</v>
      </c>
      <c r="B39" t="s">
        <v>909</v>
      </c>
      <c r="C39" t="s">
        <v>800</v>
      </c>
      <c r="D39">
        <v>1000</v>
      </c>
      <c r="E39">
        <v>0</v>
      </c>
      <c r="G39" t="s">
        <v>915</v>
      </c>
      <c r="J39" s="171">
        <v>364.2</v>
      </c>
      <c r="K39" s="171">
        <f t="shared" si="0"/>
        <v>364200</v>
      </c>
      <c r="L39" s="171">
        <f t="shared" si="1"/>
        <v>0.36420000000000002</v>
      </c>
      <c r="M39" s="171">
        <f t="shared" si="2"/>
        <v>2858.9700000000003</v>
      </c>
      <c r="T39" t="s">
        <v>875</v>
      </c>
    </row>
    <row r="40" spans="1:20">
      <c r="A40" t="s">
        <v>867</v>
      </c>
      <c r="B40" t="s">
        <v>910</v>
      </c>
      <c r="C40" t="s">
        <v>800</v>
      </c>
      <c r="D40">
        <v>1000</v>
      </c>
      <c r="E40">
        <v>0</v>
      </c>
      <c r="G40" t="s">
        <v>915</v>
      </c>
      <c r="J40" s="171">
        <v>364.2</v>
      </c>
      <c r="K40" s="171">
        <f t="shared" si="0"/>
        <v>364200</v>
      </c>
      <c r="L40" s="171">
        <f t="shared" si="1"/>
        <v>0.36420000000000002</v>
      </c>
      <c r="M40" s="171">
        <f t="shared" si="2"/>
        <v>2858.9700000000003</v>
      </c>
      <c r="T40" t="s">
        <v>875</v>
      </c>
    </row>
    <row r="41" spans="1:20">
      <c r="A41" t="s">
        <v>867</v>
      </c>
      <c r="B41" t="s">
        <v>911</v>
      </c>
      <c r="C41" t="s">
        <v>800</v>
      </c>
      <c r="D41">
        <v>1000</v>
      </c>
      <c r="E41">
        <v>0</v>
      </c>
      <c r="G41" t="s">
        <v>916</v>
      </c>
      <c r="J41">
        <v>215.64</v>
      </c>
      <c r="K41" s="171">
        <f t="shared" si="0"/>
        <v>215640</v>
      </c>
      <c r="L41" s="171">
        <f t="shared" si="1"/>
        <v>0.21564</v>
      </c>
      <c r="M41" s="171">
        <f t="shared" si="2"/>
        <v>1692.7739999999999</v>
      </c>
      <c r="T41" t="s">
        <v>875</v>
      </c>
    </row>
    <row r="42" spans="1:20">
      <c r="A42" t="s">
        <v>867</v>
      </c>
      <c r="B42" t="s">
        <v>913</v>
      </c>
      <c r="C42" t="s">
        <v>800</v>
      </c>
      <c r="D42">
        <v>1000</v>
      </c>
      <c r="E42">
        <v>0</v>
      </c>
      <c r="G42" t="s">
        <v>916</v>
      </c>
      <c r="J42" s="171">
        <v>215.64</v>
      </c>
      <c r="K42" s="171">
        <f t="shared" si="0"/>
        <v>215640</v>
      </c>
      <c r="L42" s="171">
        <f t="shared" si="1"/>
        <v>0.21564</v>
      </c>
      <c r="M42" s="171">
        <f t="shared" si="2"/>
        <v>1692.7739999999999</v>
      </c>
      <c r="T42" t="s">
        <v>875</v>
      </c>
    </row>
    <row r="43" spans="1:20">
      <c r="A43" t="s">
        <v>867</v>
      </c>
      <c r="B43" t="s">
        <v>900</v>
      </c>
      <c r="C43" t="s">
        <v>800</v>
      </c>
      <c r="D43">
        <v>1000</v>
      </c>
      <c r="E43">
        <v>0</v>
      </c>
      <c r="G43" t="s">
        <v>914</v>
      </c>
      <c r="J43" s="171">
        <v>405.28</v>
      </c>
      <c r="K43" s="171">
        <f t="shared" si="0"/>
        <v>405280</v>
      </c>
      <c r="L43" s="171">
        <f t="shared" si="1"/>
        <v>0.40527999999999997</v>
      </c>
      <c r="M43" s="171">
        <f t="shared" si="2"/>
        <v>3181.4479999999999</v>
      </c>
      <c r="T43" t="s">
        <v>875</v>
      </c>
    </row>
    <row r="44" spans="1:20">
      <c r="A44" t="s">
        <v>867</v>
      </c>
      <c r="B44" t="s">
        <v>902</v>
      </c>
      <c r="C44" t="s">
        <v>800</v>
      </c>
      <c r="D44">
        <v>900</v>
      </c>
      <c r="E44">
        <v>0</v>
      </c>
      <c r="G44" t="s">
        <v>914</v>
      </c>
      <c r="J44" s="171">
        <v>405.28</v>
      </c>
      <c r="K44" s="171">
        <f t="shared" si="0"/>
        <v>364752</v>
      </c>
      <c r="L44" s="171">
        <f t="shared" si="1"/>
        <v>0.36475200000000002</v>
      </c>
      <c r="M44" s="171">
        <f t="shared" si="2"/>
        <v>2863.3032000000003</v>
      </c>
      <c r="T44" t="s">
        <v>875</v>
      </c>
    </row>
    <row r="45" spans="1:20">
      <c r="A45" t="s">
        <v>867</v>
      </c>
      <c r="B45" t="s">
        <v>903</v>
      </c>
      <c r="C45" t="s">
        <v>800</v>
      </c>
      <c r="D45">
        <v>900</v>
      </c>
      <c r="E45">
        <v>0</v>
      </c>
      <c r="G45" t="s">
        <v>914</v>
      </c>
      <c r="J45" s="171">
        <v>405.28</v>
      </c>
      <c r="K45" s="171">
        <f t="shared" si="0"/>
        <v>364752</v>
      </c>
      <c r="L45" s="171">
        <f t="shared" si="1"/>
        <v>0.36475200000000002</v>
      </c>
      <c r="M45" s="171">
        <f t="shared" si="2"/>
        <v>2863.3032000000003</v>
      </c>
      <c r="T45" t="s">
        <v>875</v>
      </c>
    </row>
    <row r="46" spans="1:20">
      <c r="A46" t="s">
        <v>867</v>
      </c>
      <c r="B46" t="s">
        <v>904</v>
      </c>
      <c r="C46" t="s">
        <v>800</v>
      </c>
      <c r="D46">
        <v>1000</v>
      </c>
      <c r="E46">
        <v>0</v>
      </c>
      <c r="G46" t="s">
        <v>914</v>
      </c>
      <c r="J46" s="171">
        <v>405.28</v>
      </c>
      <c r="K46" s="171">
        <f t="shared" si="0"/>
        <v>405280</v>
      </c>
      <c r="L46" s="171">
        <f t="shared" si="1"/>
        <v>0.40527999999999997</v>
      </c>
      <c r="M46" s="171">
        <f t="shared" si="2"/>
        <v>3181.4479999999999</v>
      </c>
      <c r="T46" t="s">
        <v>875</v>
      </c>
    </row>
    <row r="47" spans="1:20">
      <c r="A47" t="s">
        <v>867</v>
      </c>
      <c r="B47" t="s">
        <v>905</v>
      </c>
      <c r="C47" t="s">
        <v>800</v>
      </c>
      <c r="D47">
        <v>1000</v>
      </c>
      <c r="E47">
        <v>0</v>
      </c>
      <c r="G47" t="s">
        <v>914</v>
      </c>
      <c r="J47" s="171">
        <v>405.28</v>
      </c>
      <c r="K47" s="171">
        <f t="shared" si="0"/>
        <v>405280</v>
      </c>
      <c r="L47" s="171">
        <f t="shared" si="1"/>
        <v>0.40527999999999997</v>
      </c>
      <c r="M47" s="171">
        <f t="shared" si="2"/>
        <v>3181.4479999999999</v>
      </c>
      <c r="T47" t="s">
        <v>875</v>
      </c>
    </row>
    <row r="48" spans="1:20">
      <c r="A48" t="s">
        <v>867</v>
      </c>
      <c r="B48" t="s">
        <v>906</v>
      </c>
      <c r="C48" t="s">
        <v>800</v>
      </c>
      <c r="D48">
        <v>900</v>
      </c>
      <c r="E48">
        <v>0</v>
      </c>
      <c r="G48" t="s">
        <v>914</v>
      </c>
      <c r="J48" s="171">
        <v>405.28</v>
      </c>
      <c r="K48" s="171">
        <f t="shared" si="0"/>
        <v>364752</v>
      </c>
      <c r="L48" s="171">
        <f t="shared" si="1"/>
        <v>0.36475200000000002</v>
      </c>
      <c r="M48" s="171">
        <f t="shared" si="2"/>
        <v>2863.3032000000003</v>
      </c>
      <c r="T48" t="s">
        <v>875</v>
      </c>
    </row>
    <row r="49" spans="1:20">
      <c r="A49" t="s">
        <v>867</v>
      </c>
      <c r="B49" t="s">
        <v>907</v>
      </c>
      <c r="C49" t="s">
        <v>800</v>
      </c>
      <c r="D49">
        <v>900</v>
      </c>
      <c r="E49">
        <v>0</v>
      </c>
      <c r="G49" t="s">
        <v>914</v>
      </c>
      <c r="J49">
        <v>405.28</v>
      </c>
      <c r="K49" s="171">
        <f t="shared" si="0"/>
        <v>364752</v>
      </c>
      <c r="L49" s="171">
        <f t="shared" si="1"/>
        <v>0.36475200000000002</v>
      </c>
      <c r="M49" s="171">
        <f t="shared" si="2"/>
        <v>2863.3032000000003</v>
      </c>
      <c r="T49" t="s">
        <v>875</v>
      </c>
    </row>
    <row r="50" spans="1:20">
      <c r="A50" t="s">
        <v>867</v>
      </c>
      <c r="B50" t="s">
        <v>908</v>
      </c>
      <c r="C50" t="s">
        <v>800</v>
      </c>
      <c r="D50">
        <v>1000</v>
      </c>
      <c r="E50">
        <v>0</v>
      </c>
      <c r="G50" t="s">
        <v>914</v>
      </c>
      <c r="J50" s="171">
        <v>405.28</v>
      </c>
      <c r="K50" s="171">
        <f t="shared" si="0"/>
        <v>405280</v>
      </c>
      <c r="L50" s="171">
        <f t="shared" si="1"/>
        <v>0.40527999999999997</v>
      </c>
      <c r="M50" s="171">
        <f t="shared" si="2"/>
        <v>3181.4479999999999</v>
      </c>
      <c r="T50" t="s">
        <v>875</v>
      </c>
    </row>
    <row r="51" spans="1:20">
      <c r="A51" t="s">
        <v>867</v>
      </c>
      <c r="B51" t="s">
        <v>921</v>
      </c>
      <c r="C51" t="s">
        <v>801</v>
      </c>
      <c r="D51">
        <v>640.31200000000001</v>
      </c>
      <c r="E51">
        <v>0</v>
      </c>
      <c r="G51" t="s">
        <v>927</v>
      </c>
      <c r="J51" s="171">
        <v>60</v>
      </c>
      <c r="K51" s="171">
        <f t="shared" si="0"/>
        <v>38418.720000000001</v>
      </c>
      <c r="L51" s="171">
        <f t="shared" si="1"/>
        <v>3.8418720000000003E-2</v>
      </c>
      <c r="M51" s="171">
        <f t="shared" si="2"/>
        <v>301.58695200000005</v>
      </c>
      <c r="T51" t="s">
        <v>875</v>
      </c>
    </row>
    <row r="52" spans="1:20">
      <c r="A52" t="s">
        <v>867</v>
      </c>
      <c r="B52" t="s">
        <v>923</v>
      </c>
      <c r="C52" t="s">
        <v>801</v>
      </c>
      <c r="D52">
        <v>640.31200000000001</v>
      </c>
      <c r="E52">
        <v>0</v>
      </c>
      <c r="G52" t="s">
        <v>927</v>
      </c>
      <c r="J52" s="171">
        <v>60</v>
      </c>
      <c r="K52" s="171">
        <f t="shared" si="0"/>
        <v>38418.720000000001</v>
      </c>
      <c r="L52" s="171">
        <f t="shared" si="1"/>
        <v>3.8418720000000003E-2</v>
      </c>
      <c r="M52" s="171">
        <f t="shared" si="2"/>
        <v>301.58695200000005</v>
      </c>
      <c r="T52" t="s">
        <v>875</v>
      </c>
    </row>
    <row r="53" spans="1:20">
      <c r="A53" t="s">
        <v>867</v>
      </c>
      <c r="B53" t="s">
        <v>924</v>
      </c>
      <c r="C53" t="s">
        <v>801</v>
      </c>
      <c r="D53">
        <v>640.31200000000001</v>
      </c>
      <c r="E53">
        <v>0</v>
      </c>
      <c r="G53" t="s">
        <v>927</v>
      </c>
      <c r="J53" s="171">
        <v>60</v>
      </c>
      <c r="K53" s="171">
        <f t="shared" si="0"/>
        <v>38418.720000000001</v>
      </c>
      <c r="L53" s="171">
        <f t="shared" si="1"/>
        <v>3.8418720000000003E-2</v>
      </c>
      <c r="M53" s="171">
        <f t="shared" si="2"/>
        <v>301.58695200000005</v>
      </c>
      <c r="T53" t="s">
        <v>875</v>
      </c>
    </row>
    <row r="54" spans="1:20">
      <c r="A54" t="s">
        <v>867</v>
      </c>
      <c r="B54" t="s">
        <v>925</v>
      </c>
      <c r="C54" t="s">
        <v>801</v>
      </c>
      <c r="D54">
        <v>640.31200000000001</v>
      </c>
      <c r="E54">
        <v>0</v>
      </c>
      <c r="G54" t="s">
        <v>927</v>
      </c>
      <c r="J54" s="171">
        <v>60</v>
      </c>
      <c r="K54" s="171">
        <f t="shared" si="0"/>
        <v>38418.720000000001</v>
      </c>
      <c r="L54" s="171">
        <f t="shared" si="1"/>
        <v>3.8418720000000003E-2</v>
      </c>
      <c r="M54" s="171">
        <f t="shared" si="2"/>
        <v>301.58695200000005</v>
      </c>
      <c r="T54" t="s">
        <v>875</v>
      </c>
    </row>
    <row r="55" spans="1:20">
      <c r="A55" t="s">
        <v>867</v>
      </c>
      <c r="B55" t="s">
        <v>917</v>
      </c>
      <c r="C55" t="s">
        <v>801</v>
      </c>
      <c r="D55">
        <v>583.63099999999997</v>
      </c>
      <c r="E55">
        <v>0</v>
      </c>
      <c r="G55" t="s">
        <v>899</v>
      </c>
      <c r="J55" s="171">
        <v>340.2</v>
      </c>
      <c r="K55" s="171">
        <f t="shared" si="0"/>
        <v>198551.26619999998</v>
      </c>
      <c r="L55" s="171">
        <f t="shared" si="1"/>
        <v>0.19855126619999999</v>
      </c>
      <c r="M55" s="171">
        <f t="shared" si="2"/>
        <v>1558.6274396699998</v>
      </c>
      <c r="T55" t="s">
        <v>875</v>
      </c>
    </row>
    <row r="56" spans="1:20">
      <c r="A56" t="s">
        <v>867</v>
      </c>
      <c r="B56" t="s">
        <v>918</v>
      </c>
      <c r="C56" t="s">
        <v>801</v>
      </c>
      <c r="D56">
        <v>583.63099999999997</v>
      </c>
      <c r="E56">
        <v>0</v>
      </c>
      <c r="G56" t="s">
        <v>899</v>
      </c>
      <c r="J56" s="171">
        <v>340.2</v>
      </c>
      <c r="K56" s="171">
        <f t="shared" si="0"/>
        <v>198551.26619999998</v>
      </c>
      <c r="L56" s="171">
        <f t="shared" si="1"/>
        <v>0.19855126619999999</v>
      </c>
      <c r="M56" s="171">
        <f t="shared" si="2"/>
        <v>1558.6274396699998</v>
      </c>
      <c r="T56" t="s">
        <v>875</v>
      </c>
    </row>
    <row r="57" spans="1:20">
      <c r="A57" t="s">
        <v>867</v>
      </c>
      <c r="B57" t="s">
        <v>919</v>
      </c>
      <c r="C57" t="s">
        <v>801</v>
      </c>
      <c r="D57">
        <v>583.63099999999997</v>
      </c>
      <c r="E57">
        <v>0</v>
      </c>
      <c r="G57" t="s">
        <v>899</v>
      </c>
      <c r="J57">
        <v>340.2</v>
      </c>
      <c r="K57" s="171">
        <f t="shared" si="0"/>
        <v>198551.26619999998</v>
      </c>
      <c r="L57" s="171">
        <f t="shared" si="1"/>
        <v>0.19855126619999999</v>
      </c>
      <c r="M57" s="171">
        <f t="shared" si="2"/>
        <v>1558.6274396699998</v>
      </c>
      <c r="T57" t="s">
        <v>875</v>
      </c>
    </row>
    <row r="58" spans="1:20">
      <c r="A58" t="s">
        <v>867</v>
      </c>
      <c r="B58" t="s">
        <v>920</v>
      </c>
      <c r="C58" t="s">
        <v>801</v>
      </c>
      <c r="D58">
        <v>583.63099999999997</v>
      </c>
      <c r="E58">
        <v>0</v>
      </c>
      <c r="G58" t="s">
        <v>899</v>
      </c>
      <c r="J58" s="171">
        <v>340.2</v>
      </c>
      <c r="K58" s="171">
        <f t="shared" si="0"/>
        <v>198551.26619999998</v>
      </c>
      <c r="L58" s="171">
        <f t="shared" si="1"/>
        <v>0.19855126619999999</v>
      </c>
      <c r="M58" s="171">
        <f t="shared" si="2"/>
        <v>1558.6274396699998</v>
      </c>
      <c r="T58" t="s">
        <v>875</v>
      </c>
    </row>
    <row r="59" spans="1:20">
      <c r="A59" t="s">
        <v>867</v>
      </c>
      <c r="B59" t="s">
        <v>873</v>
      </c>
      <c r="C59" t="s">
        <v>798</v>
      </c>
      <c r="D59">
        <v>400</v>
      </c>
      <c r="E59">
        <v>0</v>
      </c>
      <c r="G59" t="s">
        <v>896</v>
      </c>
      <c r="J59" s="171">
        <v>1700</v>
      </c>
      <c r="K59" s="171">
        <f t="shared" si="0"/>
        <v>680000</v>
      </c>
      <c r="L59" s="171">
        <f t="shared" si="1"/>
        <v>0.68</v>
      </c>
      <c r="M59" s="171">
        <f t="shared" si="2"/>
        <v>5338</v>
      </c>
      <c r="T59" t="s">
        <v>875</v>
      </c>
    </row>
    <row r="60" spans="1:20">
      <c r="A60" t="s">
        <v>867</v>
      </c>
      <c r="B60" t="s">
        <v>876</v>
      </c>
      <c r="C60" t="s">
        <v>798</v>
      </c>
      <c r="D60">
        <v>400</v>
      </c>
      <c r="E60">
        <v>0</v>
      </c>
      <c r="G60" t="s">
        <v>896</v>
      </c>
      <c r="J60" s="171">
        <v>1700</v>
      </c>
      <c r="K60" s="171">
        <f t="shared" si="0"/>
        <v>680000</v>
      </c>
      <c r="L60" s="171">
        <f t="shared" si="1"/>
        <v>0.68</v>
      </c>
      <c r="M60" s="171">
        <f t="shared" si="2"/>
        <v>5338</v>
      </c>
      <c r="T60" t="s">
        <v>875</v>
      </c>
    </row>
    <row r="61" spans="1:20">
      <c r="A61" t="s">
        <v>867</v>
      </c>
      <c r="B61" t="s">
        <v>884</v>
      </c>
      <c r="C61" t="s">
        <v>798</v>
      </c>
      <c r="D61">
        <v>400</v>
      </c>
      <c r="E61">
        <v>0</v>
      </c>
      <c r="G61" t="s">
        <v>896</v>
      </c>
      <c r="J61" s="171">
        <v>1700</v>
      </c>
      <c r="K61" s="171">
        <f t="shared" si="0"/>
        <v>680000</v>
      </c>
      <c r="L61" s="171">
        <f t="shared" si="1"/>
        <v>0.68</v>
      </c>
      <c r="M61" s="171">
        <f t="shared" si="2"/>
        <v>5338</v>
      </c>
      <c r="T61" t="s">
        <v>875</v>
      </c>
    </row>
    <row r="62" spans="1:20">
      <c r="A62" t="s">
        <v>867</v>
      </c>
      <c r="B62" t="s">
        <v>885</v>
      </c>
      <c r="C62" t="s">
        <v>798</v>
      </c>
      <c r="D62">
        <v>400</v>
      </c>
      <c r="E62">
        <v>0</v>
      </c>
      <c r="G62" t="s">
        <v>896</v>
      </c>
      <c r="J62" s="171">
        <v>1700</v>
      </c>
      <c r="K62" s="171">
        <f t="shared" si="0"/>
        <v>680000</v>
      </c>
      <c r="L62" s="171">
        <f t="shared" si="1"/>
        <v>0.68</v>
      </c>
      <c r="M62" s="171">
        <f t="shared" si="2"/>
        <v>5338</v>
      </c>
      <c r="T62" t="s">
        <v>875</v>
      </c>
    </row>
    <row r="63" spans="1:20">
      <c r="A63" t="s">
        <v>867</v>
      </c>
      <c r="B63" t="s">
        <v>886</v>
      </c>
      <c r="C63" t="s">
        <v>798</v>
      </c>
      <c r="D63">
        <v>400</v>
      </c>
      <c r="E63">
        <v>0</v>
      </c>
      <c r="G63" t="s">
        <v>899</v>
      </c>
      <c r="J63" s="171">
        <v>340.2</v>
      </c>
      <c r="K63" s="171">
        <f t="shared" si="0"/>
        <v>136080</v>
      </c>
      <c r="L63" s="171">
        <f t="shared" si="1"/>
        <v>0.13608000000000001</v>
      </c>
      <c r="M63" s="171">
        <f t="shared" si="2"/>
        <v>1068.2280000000001</v>
      </c>
      <c r="T63" t="s">
        <v>875</v>
      </c>
    </row>
    <row r="64" spans="1:20">
      <c r="A64" t="s">
        <v>867</v>
      </c>
      <c r="B64" t="s">
        <v>888</v>
      </c>
      <c r="C64" t="s">
        <v>798</v>
      </c>
      <c r="D64">
        <v>400</v>
      </c>
      <c r="E64">
        <v>0</v>
      </c>
      <c r="G64" t="s">
        <v>899</v>
      </c>
      <c r="J64" s="171">
        <v>340.2</v>
      </c>
      <c r="K64" s="171">
        <f t="shared" si="0"/>
        <v>136080</v>
      </c>
      <c r="L64" s="171">
        <f t="shared" si="1"/>
        <v>0.13608000000000001</v>
      </c>
      <c r="M64" s="171">
        <f t="shared" si="2"/>
        <v>1068.2280000000001</v>
      </c>
      <c r="T64" t="s">
        <v>875</v>
      </c>
    </row>
    <row r="65" spans="1:20">
      <c r="A65" t="s">
        <v>867</v>
      </c>
      <c r="B65" t="s">
        <v>889</v>
      </c>
      <c r="C65" t="s">
        <v>798</v>
      </c>
      <c r="D65">
        <v>400</v>
      </c>
      <c r="E65">
        <v>0</v>
      </c>
      <c r="G65" t="s">
        <v>899</v>
      </c>
      <c r="J65" s="171">
        <v>340.2</v>
      </c>
      <c r="K65" s="171">
        <f t="shared" ref="K65:K128" si="5">J65*D65</f>
        <v>136080</v>
      </c>
      <c r="L65" s="171">
        <f t="shared" ref="L65:L128" si="6">K65/1000000</f>
        <v>0.13608000000000001</v>
      </c>
      <c r="M65" s="171">
        <f t="shared" ref="M65:M128" si="7">L65*7850</f>
        <v>1068.2280000000001</v>
      </c>
      <c r="T65" t="s">
        <v>875</v>
      </c>
    </row>
    <row r="66" spans="1:20">
      <c r="A66" t="s">
        <v>867</v>
      </c>
      <c r="B66" t="s">
        <v>890</v>
      </c>
      <c r="C66" t="s">
        <v>798</v>
      </c>
      <c r="D66">
        <v>400</v>
      </c>
      <c r="E66">
        <v>0</v>
      </c>
      <c r="G66" t="s">
        <v>899</v>
      </c>
      <c r="J66" s="171">
        <v>340.2</v>
      </c>
      <c r="K66" s="171">
        <f t="shared" si="5"/>
        <v>136080</v>
      </c>
      <c r="L66" s="171">
        <f t="shared" si="6"/>
        <v>0.13608000000000001</v>
      </c>
      <c r="M66" s="171">
        <f t="shared" si="7"/>
        <v>1068.2280000000001</v>
      </c>
      <c r="T66" t="s">
        <v>875</v>
      </c>
    </row>
    <row r="67" spans="1:20">
      <c r="A67" t="s">
        <v>867</v>
      </c>
      <c r="B67" t="s">
        <v>877</v>
      </c>
      <c r="C67" t="s">
        <v>798</v>
      </c>
      <c r="D67">
        <v>400</v>
      </c>
      <c r="E67">
        <v>0</v>
      </c>
      <c r="G67" t="s">
        <v>897</v>
      </c>
      <c r="J67" s="171">
        <v>300.88</v>
      </c>
      <c r="K67" s="171">
        <f t="shared" si="5"/>
        <v>120352</v>
      </c>
      <c r="L67" s="171">
        <f t="shared" si="6"/>
        <v>0.120352</v>
      </c>
      <c r="M67" s="171">
        <f t="shared" si="7"/>
        <v>944.76319999999998</v>
      </c>
      <c r="T67" t="s">
        <v>875</v>
      </c>
    </row>
    <row r="68" spans="1:20">
      <c r="A68" t="s">
        <v>867</v>
      </c>
      <c r="B68" t="s">
        <v>879</v>
      </c>
      <c r="C68" t="s">
        <v>798</v>
      </c>
      <c r="D68">
        <v>400</v>
      </c>
      <c r="E68">
        <v>0</v>
      </c>
      <c r="G68" t="s">
        <v>897</v>
      </c>
      <c r="J68" s="171">
        <v>300.88</v>
      </c>
      <c r="K68" s="171">
        <f t="shared" si="5"/>
        <v>120352</v>
      </c>
      <c r="L68" s="171">
        <f t="shared" si="6"/>
        <v>0.120352</v>
      </c>
      <c r="M68" s="171">
        <f t="shared" si="7"/>
        <v>944.76319999999998</v>
      </c>
      <c r="T68" t="s">
        <v>875</v>
      </c>
    </row>
    <row r="69" spans="1:20">
      <c r="A69" t="s">
        <v>867</v>
      </c>
      <c r="B69" t="s">
        <v>880</v>
      </c>
      <c r="C69" t="s">
        <v>798</v>
      </c>
      <c r="D69">
        <v>400</v>
      </c>
      <c r="E69">
        <v>0</v>
      </c>
      <c r="G69" t="s">
        <v>897</v>
      </c>
      <c r="J69" s="171">
        <v>300.88</v>
      </c>
      <c r="K69" s="171">
        <f t="shared" si="5"/>
        <v>120352</v>
      </c>
      <c r="L69" s="171">
        <f t="shared" si="6"/>
        <v>0.120352</v>
      </c>
      <c r="M69" s="171">
        <f t="shared" si="7"/>
        <v>944.76319999999998</v>
      </c>
      <c r="T69" t="s">
        <v>875</v>
      </c>
    </row>
    <row r="70" spans="1:20">
      <c r="A70" t="s">
        <v>867</v>
      </c>
      <c r="B70" t="s">
        <v>881</v>
      </c>
      <c r="C70" t="s">
        <v>798</v>
      </c>
      <c r="D70">
        <v>400</v>
      </c>
      <c r="E70">
        <v>0</v>
      </c>
      <c r="G70" t="s">
        <v>897</v>
      </c>
      <c r="J70" s="171">
        <v>300.88</v>
      </c>
      <c r="K70" s="171">
        <f t="shared" si="5"/>
        <v>120352</v>
      </c>
      <c r="L70" s="171">
        <f t="shared" si="6"/>
        <v>0.120352</v>
      </c>
      <c r="M70" s="171">
        <f t="shared" si="7"/>
        <v>944.76319999999998</v>
      </c>
      <c r="T70" t="s">
        <v>875</v>
      </c>
    </row>
    <row r="71" spans="1:20">
      <c r="A71" t="s">
        <v>867</v>
      </c>
      <c r="B71" t="s">
        <v>882</v>
      </c>
      <c r="C71" t="s">
        <v>798</v>
      </c>
      <c r="D71">
        <v>400</v>
      </c>
      <c r="E71">
        <v>0</v>
      </c>
      <c r="G71" t="s">
        <v>897</v>
      </c>
      <c r="J71" s="171">
        <v>300.88</v>
      </c>
      <c r="K71" s="171">
        <f t="shared" si="5"/>
        <v>120352</v>
      </c>
      <c r="L71" s="171">
        <f t="shared" si="6"/>
        <v>0.120352</v>
      </c>
      <c r="M71" s="171">
        <f t="shared" si="7"/>
        <v>944.76319999999998</v>
      </c>
      <c r="T71" t="s">
        <v>875</v>
      </c>
    </row>
    <row r="72" spans="1:20">
      <c r="A72" t="s">
        <v>867</v>
      </c>
      <c r="B72" t="s">
        <v>883</v>
      </c>
      <c r="C72" t="s">
        <v>798</v>
      </c>
      <c r="D72">
        <v>400</v>
      </c>
      <c r="E72">
        <v>0</v>
      </c>
      <c r="G72" t="s">
        <v>897</v>
      </c>
      <c r="J72" s="171">
        <v>300.88</v>
      </c>
      <c r="K72" s="171">
        <f t="shared" si="5"/>
        <v>120352</v>
      </c>
      <c r="L72" s="171">
        <f t="shared" si="6"/>
        <v>0.120352</v>
      </c>
      <c r="M72" s="171">
        <f t="shared" si="7"/>
        <v>944.76319999999998</v>
      </c>
      <c r="T72" t="s">
        <v>875</v>
      </c>
    </row>
    <row r="73" spans="1:20">
      <c r="A73" t="s">
        <v>867</v>
      </c>
      <c r="B73" t="s">
        <v>891</v>
      </c>
      <c r="C73" t="s">
        <v>798</v>
      </c>
      <c r="D73">
        <v>400</v>
      </c>
      <c r="E73">
        <v>0</v>
      </c>
      <c r="G73" t="s">
        <v>897</v>
      </c>
      <c r="J73" s="171">
        <v>300.88</v>
      </c>
      <c r="K73" s="171">
        <f t="shared" si="5"/>
        <v>120352</v>
      </c>
      <c r="L73" s="171">
        <f t="shared" si="6"/>
        <v>0.120352</v>
      </c>
      <c r="M73" s="171">
        <f t="shared" si="7"/>
        <v>944.76319999999998</v>
      </c>
      <c r="T73" t="s">
        <v>875</v>
      </c>
    </row>
    <row r="74" spans="1:20">
      <c r="A74" t="s">
        <v>867</v>
      </c>
      <c r="B74" t="s">
        <v>893</v>
      </c>
      <c r="C74" t="s">
        <v>798</v>
      </c>
      <c r="D74">
        <v>400</v>
      </c>
      <c r="E74">
        <v>0</v>
      </c>
      <c r="G74" t="s">
        <v>897</v>
      </c>
      <c r="J74" s="171">
        <v>300.88</v>
      </c>
      <c r="K74" s="171">
        <f t="shared" si="5"/>
        <v>120352</v>
      </c>
      <c r="L74" s="171">
        <f t="shared" si="6"/>
        <v>0.120352</v>
      </c>
      <c r="M74" s="171">
        <f t="shared" si="7"/>
        <v>944.76319999999998</v>
      </c>
      <c r="T74" t="s">
        <v>875</v>
      </c>
    </row>
    <row r="75" spans="1:20">
      <c r="A75" t="s">
        <v>867</v>
      </c>
      <c r="B75" t="s">
        <v>894</v>
      </c>
      <c r="C75" t="s">
        <v>798</v>
      </c>
      <c r="D75">
        <v>400</v>
      </c>
      <c r="E75">
        <v>0</v>
      </c>
      <c r="G75" t="s">
        <v>897</v>
      </c>
      <c r="J75" s="171">
        <v>300.88</v>
      </c>
      <c r="K75" s="171">
        <f t="shared" si="5"/>
        <v>120352</v>
      </c>
      <c r="L75" s="171">
        <f t="shared" si="6"/>
        <v>0.120352</v>
      </c>
      <c r="M75" s="171">
        <f t="shared" si="7"/>
        <v>944.76319999999998</v>
      </c>
      <c r="T75" t="s">
        <v>875</v>
      </c>
    </row>
    <row r="76" spans="1:20">
      <c r="A76" t="s">
        <v>867</v>
      </c>
      <c r="B76" t="s">
        <v>895</v>
      </c>
      <c r="C76" t="s">
        <v>798</v>
      </c>
      <c r="D76">
        <v>400</v>
      </c>
      <c r="E76">
        <v>0</v>
      </c>
      <c r="G76" t="s">
        <v>897</v>
      </c>
      <c r="J76" s="171">
        <v>300.88</v>
      </c>
      <c r="K76" s="171">
        <f t="shared" si="5"/>
        <v>120352</v>
      </c>
      <c r="L76" s="171">
        <f t="shared" si="6"/>
        <v>0.120352</v>
      </c>
      <c r="M76" s="171">
        <f t="shared" si="7"/>
        <v>944.76319999999998</v>
      </c>
      <c r="T76" t="s">
        <v>875</v>
      </c>
    </row>
    <row r="77" spans="1:20">
      <c r="A77" t="s">
        <v>864</v>
      </c>
      <c r="B77" t="s">
        <v>909</v>
      </c>
      <c r="C77" t="s">
        <v>800</v>
      </c>
      <c r="D77">
        <v>1000</v>
      </c>
      <c r="E77">
        <v>0</v>
      </c>
      <c r="G77" t="s">
        <v>898</v>
      </c>
      <c r="J77" s="171">
        <v>152.44</v>
      </c>
      <c r="K77" s="171">
        <f t="shared" si="5"/>
        <v>152440</v>
      </c>
      <c r="L77" s="171">
        <f t="shared" si="6"/>
        <v>0.15243999999999999</v>
      </c>
      <c r="M77" s="171">
        <f t="shared" si="7"/>
        <v>1196.654</v>
      </c>
      <c r="T77" t="s">
        <v>875</v>
      </c>
    </row>
    <row r="78" spans="1:20">
      <c r="A78" t="s">
        <v>864</v>
      </c>
      <c r="B78" t="s">
        <v>910</v>
      </c>
      <c r="C78" t="s">
        <v>800</v>
      </c>
      <c r="D78">
        <v>1000</v>
      </c>
      <c r="E78">
        <v>0</v>
      </c>
      <c r="G78" t="s">
        <v>898</v>
      </c>
      <c r="J78" s="171">
        <v>152.44</v>
      </c>
      <c r="K78" s="171">
        <f t="shared" si="5"/>
        <v>152440</v>
      </c>
      <c r="L78" s="171">
        <f t="shared" si="6"/>
        <v>0.15243999999999999</v>
      </c>
      <c r="M78" s="171">
        <f t="shared" si="7"/>
        <v>1196.654</v>
      </c>
      <c r="T78" t="s">
        <v>875</v>
      </c>
    </row>
    <row r="79" spans="1:20">
      <c r="A79" t="s">
        <v>864</v>
      </c>
      <c r="B79" t="s">
        <v>911</v>
      </c>
      <c r="C79" t="s">
        <v>800</v>
      </c>
      <c r="D79">
        <v>1000</v>
      </c>
      <c r="E79">
        <v>0</v>
      </c>
      <c r="G79" t="s">
        <v>898</v>
      </c>
      <c r="J79" s="171">
        <v>152.44</v>
      </c>
      <c r="K79" s="171">
        <f t="shared" si="5"/>
        <v>152440</v>
      </c>
      <c r="L79" s="171">
        <f t="shared" si="6"/>
        <v>0.15243999999999999</v>
      </c>
      <c r="M79" s="171">
        <f t="shared" si="7"/>
        <v>1196.654</v>
      </c>
      <c r="T79" t="s">
        <v>875</v>
      </c>
    </row>
    <row r="80" spans="1:20">
      <c r="A80" t="s">
        <v>864</v>
      </c>
      <c r="B80" t="s">
        <v>913</v>
      </c>
      <c r="C80" t="s">
        <v>800</v>
      </c>
      <c r="D80">
        <v>1000</v>
      </c>
      <c r="E80">
        <v>0</v>
      </c>
      <c r="G80" t="s">
        <v>898</v>
      </c>
      <c r="J80" s="171">
        <v>152.44</v>
      </c>
      <c r="K80" s="171">
        <f t="shared" si="5"/>
        <v>152440</v>
      </c>
      <c r="L80" s="171">
        <f t="shared" si="6"/>
        <v>0.15243999999999999</v>
      </c>
      <c r="M80" s="171">
        <f t="shared" si="7"/>
        <v>1196.654</v>
      </c>
      <c r="T80" t="s">
        <v>875</v>
      </c>
    </row>
    <row r="81" spans="1:20">
      <c r="A81" t="s">
        <v>864</v>
      </c>
      <c r="B81" t="s">
        <v>900</v>
      </c>
      <c r="C81" t="s">
        <v>800</v>
      </c>
      <c r="D81">
        <v>1000</v>
      </c>
      <c r="E81">
        <v>0</v>
      </c>
      <c r="G81" t="s">
        <v>899</v>
      </c>
      <c r="J81" s="171">
        <v>340.2</v>
      </c>
      <c r="K81" s="171">
        <f t="shared" si="5"/>
        <v>340200</v>
      </c>
      <c r="L81" s="171">
        <f t="shared" si="6"/>
        <v>0.3402</v>
      </c>
      <c r="M81" s="171">
        <f t="shared" si="7"/>
        <v>2670.57</v>
      </c>
      <c r="T81" t="s">
        <v>875</v>
      </c>
    </row>
    <row r="82" spans="1:20">
      <c r="A82" t="s">
        <v>864</v>
      </c>
      <c r="B82" t="s">
        <v>902</v>
      </c>
      <c r="C82" t="s">
        <v>800</v>
      </c>
      <c r="D82">
        <v>900</v>
      </c>
      <c r="E82">
        <v>0</v>
      </c>
      <c r="G82" t="s">
        <v>899</v>
      </c>
      <c r="J82" s="171">
        <v>340.2</v>
      </c>
      <c r="K82" s="171">
        <f t="shared" si="5"/>
        <v>306180</v>
      </c>
      <c r="L82" s="171">
        <f t="shared" si="6"/>
        <v>0.30618000000000001</v>
      </c>
      <c r="M82" s="171">
        <f t="shared" si="7"/>
        <v>2403.5129999999999</v>
      </c>
      <c r="T82" t="s">
        <v>875</v>
      </c>
    </row>
    <row r="83" spans="1:20">
      <c r="A83" t="s">
        <v>864</v>
      </c>
      <c r="B83" t="s">
        <v>903</v>
      </c>
      <c r="C83" t="s">
        <v>800</v>
      </c>
      <c r="D83">
        <v>900</v>
      </c>
      <c r="E83">
        <v>0</v>
      </c>
      <c r="G83" t="s">
        <v>899</v>
      </c>
      <c r="J83" s="171">
        <v>340.2</v>
      </c>
      <c r="K83" s="171">
        <f t="shared" si="5"/>
        <v>306180</v>
      </c>
      <c r="L83" s="171">
        <f t="shared" si="6"/>
        <v>0.30618000000000001</v>
      </c>
      <c r="M83" s="171">
        <f t="shared" si="7"/>
        <v>2403.5129999999999</v>
      </c>
      <c r="T83" t="s">
        <v>875</v>
      </c>
    </row>
    <row r="84" spans="1:20">
      <c r="A84" t="s">
        <v>864</v>
      </c>
      <c r="B84" t="s">
        <v>904</v>
      </c>
      <c r="C84" t="s">
        <v>800</v>
      </c>
      <c r="D84">
        <v>1000</v>
      </c>
      <c r="E84">
        <v>0</v>
      </c>
      <c r="G84" t="s">
        <v>899</v>
      </c>
      <c r="J84" s="171">
        <v>340.2</v>
      </c>
      <c r="K84" s="171">
        <f t="shared" si="5"/>
        <v>340200</v>
      </c>
      <c r="L84" s="171">
        <f t="shared" si="6"/>
        <v>0.3402</v>
      </c>
      <c r="M84" s="171">
        <f t="shared" si="7"/>
        <v>2670.57</v>
      </c>
      <c r="T84" t="s">
        <v>875</v>
      </c>
    </row>
    <row r="85" spans="1:20">
      <c r="A85" t="s">
        <v>864</v>
      </c>
      <c r="B85" t="s">
        <v>905</v>
      </c>
      <c r="C85" t="s">
        <v>800</v>
      </c>
      <c r="D85">
        <v>1000</v>
      </c>
      <c r="E85">
        <v>0</v>
      </c>
      <c r="G85" t="s">
        <v>899</v>
      </c>
      <c r="J85" s="171">
        <v>340.2</v>
      </c>
      <c r="K85" s="171">
        <f t="shared" si="5"/>
        <v>340200</v>
      </c>
      <c r="L85" s="171">
        <f t="shared" si="6"/>
        <v>0.3402</v>
      </c>
      <c r="M85" s="171">
        <f t="shared" si="7"/>
        <v>2670.57</v>
      </c>
      <c r="T85" t="s">
        <v>875</v>
      </c>
    </row>
    <row r="86" spans="1:20">
      <c r="A86" t="s">
        <v>864</v>
      </c>
      <c r="B86" t="s">
        <v>906</v>
      </c>
      <c r="C86" t="s">
        <v>800</v>
      </c>
      <c r="D86">
        <v>900</v>
      </c>
      <c r="E86">
        <v>0</v>
      </c>
      <c r="G86" t="s">
        <v>899</v>
      </c>
      <c r="J86" s="171">
        <v>340.2</v>
      </c>
      <c r="K86" s="171">
        <f t="shared" si="5"/>
        <v>306180</v>
      </c>
      <c r="L86" s="171">
        <f t="shared" si="6"/>
        <v>0.30618000000000001</v>
      </c>
      <c r="M86" s="171">
        <f t="shared" si="7"/>
        <v>2403.5129999999999</v>
      </c>
      <c r="T86" t="s">
        <v>875</v>
      </c>
    </row>
    <row r="87" spans="1:20">
      <c r="A87" t="s">
        <v>864</v>
      </c>
      <c r="B87" t="s">
        <v>907</v>
      </c>
      <c r="C87" t="s">
        <v>800</v>
      </c>
      <c r="D87">
        <v>900</v>
      </c>
      <c r="E87">
        <v>0</v>
      </c>
      <c r="G87" t="s">
        <v>899</v>
      </c>
      <c r="J87" s="171">
        <v>340.2</v>
      </c>
      <c r="K87" s="171">
        <f t="shared" si="5"/>
        <v>306180</v>
      </c>
      <c r="L87" s="171">
        <f t="shared" si="6"/>
        <v>0.30618000000000001</v>
      </c>
      <c r="M87" s="171">
        <f t="shared" si="7"/>
        <v>2403.5129999999999</v>
      </c>
      <c r="T87" t="s">
        <v>875</v>
      </c>
    </row>
    <row r="88" spans="1:20">
      <c r="A88" t="s">
        <v>864</v>
      </c>
      <c r="B88" t="s">
        <v>908</v>
      </c>
      <c r="C88" t="s">
        <v>800</v>
      </c>
      <c r="D88">
        <v>1000</v>
      </c>
      <c r="E88">
        <v>0</v>
      </c>
      <c r="G88" t="s">
        <v>899</v>
      </c>
      <c r="J88" s="171">
        <v>340.2</v>
      </c>
      <c r="K88" s="171">
        <f t="shared" si="5"/>
        <v>340200</v>
      </c>
      <c r="L88" s="171">
        <f t="shared" si="6"/>
        <v>0.3402</v>
      </c>
      <c r="M88" s="171">
        <f t="shared" si="7"/>
        <v>2670.57</v>
      </c>
      <c r="T88" t="s">
        <v>875</v>
      </c>
    </row>
    <row r="89" spans="1:20">
      <c r="A89" t="s">
        <v>864</v>
      </c>
      <c r="B89" t="s">
        <v>921</v>
      </c>
      <c r="C89" t="s">
        <v>801</v>
      </c>
      <c r="D89">
        <v>640.31200000000001</v>
      </c>
      <c r="E89">
        <v>0</v>
      </c>
      <c r="G89" t="s">
        <v>926</v>
      </c>
      <c r="J89" s="171">
        <v>40</v>
      </c>
      <c r="K89" s="171">
        <f t="shared" si="5"/>
        <v>25612.48</v>
      </c>
      <c r="L89" s="171">
        <f t="shared" si="6"/>
        <v>2.561248E-2</v>
      </c>
      <c r="M89" s="171">
        <f t="shared" si="7"/>
        <v>201.05796799999999</v>
      </c>
      <c r="T89" t="s">
        <v>875</v>
      </c>
    </row>
    <row r="90" spans="1:20">
      <c r="A90" t="s">
        <v>864</v>
      </c>
      <c r="B90" t="s">
        <v>923</v>
      </c>
      <c r="C90" t="s">
        <v>801</v>
      </c>
      <c r="D90">
        <v>640.31200000000001</v>
      </c>
      <c r="E90">
        <v>0</v>
      </c>
      <c r="G90" t="s">
        <v>926</v>
      </c>
      <c r="J90" s="171">
        <v>40</v>
      </c>
      <c r="K90" s="171">
        <f t="shared" si="5"/>
        <v>25612.48</v>
      </c>
      <c r="L90" s="171">
        <f t="shared" si="6"/>
        <v>2.561248E-2</v>
      </c>
      <c r="M90" s="171">
        <f t="shared" si="7"/>
        <v>201.05796799999999</v>
      </c>
      <c r="T90" t="s">
        <v>875</v>
      </c>
    </row>
    <row r="91" spans="1:20">
      <c r="A91" t="s">
        <v>864</v>
      </c>
      <c r="B91" t="s">
        <v>924</v>
      </c>
      <c r="C91" t="s">
        <v>801</v>
      </c>
      <c r="D91">
        <v>640.31200000000001</v>
      </c>
      <c r="E91">
        <v>0</v>
      </c>
      <c r="G91" t="s">
        <v>926</v>
      </c>
      <c r="J91" s="171">
        <v>40</v>
      </c>
      <c r="K91" s="171">
        <f t="shared" si="5"/>
        <v>25612.48</v>
      </c>
      <c r="L91" s="171">
        <f t="shared" si="6"/>
        <v>2.561248E-2</v>
      </c>
      <c r="M91" s="171">
        <f t="shared" si="7"/>
        <v>201.05796799999999</v>
      </c>
      <c r="T91" t="s">
        <v>875</v>
      </c>
    </row>
    <row r="92" spans="1:20">
      <c r="A92" t="s">
        <v>864</v>
      </c>
      <c r="B92" t="s">
        <v>925</v>
      </c>
      <c r="C92" t="s">
        <v>801</v>
      </c>
      <c r="D92">
        <v>640.31200000000001</v>
      </c>
      <c r="E92">
        <v>0</v>
      </c>
      <c r="G92" t="s">
        <v>926</v>
      </c>
      <c r="J92" s="171">
        <v>40</v>
      </c>
      <c r="K92" s="171">
        <f t="shared" si="5"/>
        <v>25612.48</v>
      </c>
      <c r="L92" s="171">
        <f t="shared" si="6"/>
        <v>2.561248E-2</v>
      </c>
      <c r="M92" s="171">
        <f t="shared" si="7"/>
        <v>201.05796799999999</v>
      </c>
      <c r="T92" t="s">
        <v>875</v>
      </c>
    </row>
    <row r="93" spans="1:20">
      <c r="A93" t="s">
        <v>864</v>
      </c>
      <c r="B93" t="s">
        <v>917</v>
      </c>
      <c r="C93" t="s">
        <v>801</v>
      </c>
      <c r="D93">
        <v>583.63099999999997</v>
      </c>
      <c r="E93">
        <v>0</v>
      </c>
      <c r="G93" t="s">
        <v>898</v>
      </c>
      <c r="J93">
        <v>152.44</v>
      </c>
      <c r="K93" s="171">
        <f t="shared" si="5"/>
        <v>88968.709640000001</v>
      </c>
      <c r="L93" s="171">
        <f t="shared" si="6"/>
        <v>8.8968709640000004E-2</v>
      </c>
      <c r="M93" s="171">
        <f t="shared" si="7"/>
        <v>698.40437067400001</v>
      </c>
      <c r="T93" t="s">
        <v>875</v>
      </c>
    </row>
    <row r="94" spans="1:20">
      <c r="A94" t="s">
        <v>864</v>
      </c>
      <c r="B94" t="s">
        <v>918</v>
      </c>
      <c r="C94" t="s">
        <v>801</v>
      </c>
      <c r="D94">
        <v>583.63099999999997</v>
      </c>
      <c r="E94">
        <v>0</v>
      </c>
      <c r="G94" t="s">
        <v>898</v>
      </c>
      <c r="J94" s="171">
        <v>152.44</v>
      </c>
      <c r="K94" s="171">
        <f t="shared" si="5"/>
        <v>88968.709640000001</v>
      </c>
      <c r="L94" s="171">
        <f t="shared" si="6"/>
        <v>8.8968709640000004E-2</v>
      </c>
      <c r="M94" s="171">
        <f t="shared" si="7"/>
        <v>698.40437067400001</v>
      </c>
      <c r="T94" t="s">
        <v>875</v>
      </c>
    </row>
    <row r="95" spans="1:20">
      <c r="A95" t="s">
        <v>864</v>
      </c>
      <c r="B95" t="s">
        <v>919</v>
      </c>
      <c r="C95" t="s">
        <v>801</v>
      </c>
      <c r="D95">
        <v>583.63099999999997</v>
      </c>
      <c r="E95">
        <v>0</v>
      </c>
      <c r="G95" t="s">
        <v>898</v>
      </c>
      <c r="J95" s="171">
        <v>152.44</v>
      </c>
      <c r="K95" s="171">
        <f t="shared" si="5"/>
        <v>88968.709640000001</v>
      </c>
      <c r="L95" s="171">
        <f t="shared" si="6"/>
        <v>8.8968709640000004E-2</v>
      </c>
      <c r="M95" s="171">
        <f t="shared" si="7"/>
        <v>698.40437067400001</v>
      </c>
      <c r="T95" t="s">
        <v>875</v>
      </c>
    </row>
    <row r="96" spans="1:20">
      <c r="A96" t="s">
        <v>864</v>
      </c>
      <c r="B96" t="s">
        <v>920</v>
      </c>
      <c r="C96" t="s">
        <v>801</v>
      </c>
      <c r="D96">
        <v>583.63099999999997</v>
      </c>
      <c r="E96">
        <v>0</v>
      </c>
      <c r="G96" t="s">
        <v>898</v>
      </c>
      <c r="J96" s="171">
        <v>152.44</v>
      </c>
      <c r="K96" s="171">
        <f t="shared" si="5"/>
        <v>88968.709640000001</v>
      </c>
      <c r="L96" s="171">
        <f t="shared" si="6"/>
        <v>8.8968709640000004E-2</v>
      </c>
      <c r="M96" s="171">
        <f t="shared" si="7"/>
        <v>698.40437067400001</v>
      </c>
      <c r="T96" t="s">
        <v>875</v>
      </c>
    </row>
    <row r="97" spans="1:20">
      <c r="A97" t="s">
        <v>864</v>
      </c>
      <c r="B97" t="s">
        <v>873</v>
      </c>
      <c r="C97" t="s">
        <v>798</v>
      </c>
      <c r="D97">
        <v>400</v>
      </c>
      <c r="E97">
        <v>0</v>
      </c>
      <c r="G97" t="s">
        <v>896</v>
      </c>
      <c r="J97">
        <v>1700</v>
      </c>
      <c r="K97" s="171">
        <f t="shared" si="5"/>
        <v>680000</v>
      </c>
      <c r="L97" s="171">
        <f t="shared" si="6"/>
        <v>0.68</v>
      </c>
      <c r="M97" s="171">
        <f t="shared" si="7"/>
        <v>5338</v>
      </c>
      <c r="T97" t="s">
        <v>875</v>
      </c>
    </row>
    <row r="98" spans="1:20">
      <c r="A98" t="s">
        <v>864</v>
      </c>
      <c r="B98" t="s">
        <v>876</v>
      </c>
      <c r="C98" t="s">
        <v>798</v>
      </c>
      <c r="D98">
        <v>400</v>
      </c>
      <c r="E98">
        <v>0</v>
      </c>
      <c r="G98" t="s">
        <v>896</v>
      </c>
      <c r="J98" s="171">
        <v>1700</v>
      </c>
      <c r="K98" s="171">
        <f t="shared" si="5"/>
        <v>680000</v>
      </c>
      <c r="L98" s="171">
        <f t="shared" si="6"/>
        <v>0.68</v>
      </c>
      <c r="M98" s="171">
        <f t="shared" si="7"/>
        <v>5338</v>
      </c>
      <c r="T98" t="s">
        <v>875</v>
      </c>
    </row>
    <row r="99" spans="1:20">
      <c r="A99" t="s">
        <v>864</v>
      </c>
      <c r="B99" t="s">
        <v>884</v>
      </c>
      <c r="C99" t="s">
        <v>798</v>
      </c>
      <c r="D99">
        <v>400</v>
      </c>
      <c r="E99">
        <v>0</v>
      </c>
      <c r="G99" t="s">
        <v>896</v>
      </c>
      <c r="J99" s="171">
        <v>1700</v>
      </c>
      <c r="K99" s="171">
        <f t="shared" si="5"/>
        <v>680000</v>
      </c>
      <c r="L99" s="171">
        <f t="shared" si="6"/>
        <v>0.68</v>
      </c>
      <c r="M99" s="171">
        <f t="shared" si="7"/>
        <v>5338</v>
      </c>
      <c r="T99" t="s">
        <v>875</v>
      </c>
    </row>
    <row r="100" spans="1:20">
      <c r="A100" t="s">
        <v>864</v>
      </c>
      <c r="B100" t="s">
        <v>885</v>
      </c>
      <c r="C100" t="s">
        <v>798</v>
      </c>
      <c r="D100">
        <v>400</v>
      </c>
      <c r="E100">
        <v>0</v>
      </c>
      <c r="G100" t="s">
        <v>896</v>
      </c>
      <c r="J100" s="171">
        <v>1700</v>
      </c>
      <c r="K100" s="171">
        <f t="shared" si="5"/>
        <v>680000</v>
      </c>
      <c r="L100" s="171">
        <f t="shared" si="6"/>
        <v>0.68</v>
      </c>
      <c r="M100" s="171">
        <f t="shared" si="7"/>
        <v>5338</v>
      </c>
      <c r="T100" t="s">
        <v>875</v>
      </c>
    </row>
    <row r="101" spans="1:20">
      <c r="A101" t="s">
        <v>864</v>
      </c>
      <c r="B101" t="s">
        <v>886</v>
      </c>
      <c r="C101" t="s">
        <v>798</v>
      </c>
      <c r="D101">
        <v>400</v>
      </c>
      <c r="E101">
        <v>0</v>
      </c>
      <c r="G101" t="s">
        <v>898</v>
      </c>
      <c r="J101" s="171">
        <v>152.44</v>
      </c>
      <c r="K101" s="171">
        <f t="shared" si="5"/>
        <v>60976</v>
      </c>
      <c r="L101" s="171">
        <f t="shared" si="6"/>
        <v>6.0976000000000002E-2</v>
      </c>
      <c r="M101" s="171">
        <f t="shared" si="7"/>
        <v>478.66160000000002</v>
      </c>
      <c r="T101" t="s">
        <v>875</v>
      </c>
    </row>
    <row r="102" spans="1:20">
      <c r="A102" t="s">
        <v>864</v>
      </c>
      <c r="B102" t="s">
        <v>888</v>
      </c>
      <c r="C102" t="s">
        <v>798</v>
      </c>
      <c r="D102">
        <v>400</v>
      </c>
      <c r="E102">
        <v>0</v>
      </c>
      <c r="G102" t="s">
        <v>898</v>
      </c>
      <c r="J102" s="171">
        <v>152.44</v>
      </c>
      <c r="K102" s="171">
        <f t="shared" si="5"/>
        <v>60976</v>
      </c>
      <c r="L102" s="171">
        <f t="shared" si="6"/>
        <v>6.0976000000000002E-2</v>
      </c>
      <c r="M102" s="171">
        <f t="shared" si="7"/>
        <v>478.66160000000002</v>
      </c>
      <c r="T102" t="s">
        <v>875</v>
      </c>
    </row>
    <row r="103" spans="1:20">
      <c r="A103" t="s">
        <v>864</v>
      </c>
      <c r="B103" t="s">
        <v>889</v>
      </c>
      <c r="C103" t="s">
        <v>798</v>
      </c>
      <c r="D103">
        <v>400</v>
      </c>
      <c r="E103">
        <v>0</v>
      </c>
      <c r="G103" t="s">
        <v>898</v>
      </c>
      <c r="J103" s="171">
        <v>152.44</v>
      </c>
      <c r="K103" s="171">
        <f t="shared" si="5"/>
        <v>60976</v>
      </c>
      <c r="L103" s="171">
        <f t="shared" si="6"/>
        <v>6.0976000000000002E-2</v>
      </c>
      <c r="M103" s="171">
        <f t="shared" si="7"/>
        <v>478.66160000000002</v>
      </c>
      <c r="T103" t="s">
        <v>875</v>
      </c>
    </row>
    <row r="104" spans="1:20">
      <c r="A104" t="s">
        <v>864</v>
      </c>
      <c r="B104" t="s">
        <v>890</v>
      </c>
      <c r="C104" t="s">
        <v>798</v>
      </c>
      <c r="D104">
        <v>400</v>
      </c>
      <c r="E104">
        <v>0</v>
      </c>
      <c r="G104" t="s">
        <v>898</v>
      </c>
      <c r="J104" s="171">
        <v>152.44</v>
      </c>
      <c r="K104" s="171">
        <f t="shared" si="5"/>
        <v>60976</v>
      </c>
      <c r="L104" s="171">
        <f t="shared" si="6"/>
        <v>6.0976000000000002E-2</v>
      </c>
      <c r="M104" s="171">
        <f t="shared" si="7"/>
        <v>478.66160000000002</v>
      </c>
      <c r="T104" t="s">
        <v>875</v>
      </c>
    </row>
    <row r="105" spans="1:20">
      <c r="A105" t="s">
        <v>864</v>
      </c>
      <c r="B105" t="s">
        <v>891</v>
      </c>
      <c r="C105" t="s">
        <v>798</v>
      </c>
      <c r="D105">
        <v>400</v>
      </c>
      <c r="E105">
        <v>0</v>
      </c>
      <c r="G105" t="s">
        <v>898</v>
      </c>
      <c r="J105" s="171">
        <v>152.44</v>
      </c>
      <c r="K105" s="171">
        <f t="shared" si="5"/>
        <v>60976</v>
      </c>
      <c r="L105" s="171">
        <f t="shared" si="6"/>
        <v>6.0976000000000002E-2</v>
      </c>
      <c r="M105" s="171">
        <f t="shared" si="7"/>
        <v>478.66160000000002</v>
      </c>
      <c r="T105" t="s">
        <v>875</v>
      </c>
    </row>
    <row r="106" spans="1:20">
      <c r="A106" t="s">
        <v>864</v>
      </c>
      <c r="B106" t="s">
        <v>893</v>
      </c>
      <c r="C106" t="s">
        <v>798</v>
      </c>
      <c r="D106">
        <v>400</v>
      </c>
      <c r="E106">
        <v>0</v>
      </c>
      <c r="G106" t="s">
        <v>898</v>
      </c>
      <c r="J106" s="171">
        <v>152.44</v>
      </c>
      <c r="K106" s="171">
        <f t="shared" si="5"/>
        <v>60976</v>
      </c>
      <c r="L106" s="171">
        <f t="shared" si="6"/>
        <v>6.0976000000000002E-2</v>
      </c>
      <c r="M106" s="171">
        <f t="shared" si="7"/>
        <v>478.66160000000002</v>
      </c>
      <c r="T106" t="s">
        <v>875</v>
      </c>
    </row>
    <row r="107" spans="1:20">
      <c r="A107" t="s">
        <v>864</v>
      </c>
      <c r="B107" t="s">
        <v>894</v>
      </c>
      <c r="C107" t="s">
        <v>798</v>
      </c>
      <c r="D107">
        <v>400</v>
      </c>
      <c r="E107">
        <v>0</v>
      </c>
      <c r="G107" t="s">
        <v>898</v>
      </c>
      <c r="J107" s="171">
        <v>152.44</v>
      </c>
      <c r="K107" s="171">
        <f t="shared" si="5"/>
        <v>60976</v>
      </c>
      <c r="L107" s="171">
        <f t="shared" si="6"/>
        <v>6.0976000000000002E-2</v>
      </c>
      <c r="M107" s="171">
        <f t="shared" si="7"/>
        <v>478.66160000000002</v>
      </c>
      <c r="T107" t="s">
        <v>875</v>
      </c>
    </row>
    <row r="108" spans="1:20">
      <c r="A108" t="s">
        <v>864</v>
      </c>
      <c r="B108" t="s">
        <v>895</v>
      </c>
      <c r="C108" t="s">
        <v>798</v>
      </c>
      <c r="D108">
        <v>400</v>
      </c>
      <c r="E108">
        <v>0</v>
      </c>
      <c r="G108" t="s">
        <v>898</v>
      </c>
      <c r="J108" s="171">
        <v>152.44</v>
      </c>
      <c r="K108" s="171">
        <f t="shared" si="5"/>
        <v>60976</v>
      </c>
      <c r="L108" s="171">
        <f t="shared" si="6"/>
        <v>6.0976000000000002E-2</v>
      </c>
      <c r="M108" s="171">
        <f t="shared" si="7"/>
        <v>478.66160000000002</v>
      </c>
      <c r="T108" t="s">
        <v>875</v>
      </c>
    </row>
    <row r="109" spans="1:20">
      <c r="A109" t="s">
        <v>864</v>
      </c>
      <c r="B109" t="s">
        <v>877</v>
      </c>
      <c r="C109" t="s">
        <v>798</v>
      </c>
      <c r="D109">
        <v>400</v>
      </c>
      <c r="E109">
        <v>0</v>
      </c>
      <c r="G109" t="s">
        <v>897</v>
      </c>
      <c r="J109" s="171">
        <v>300.88</v>
      </c>
      <c r="K109" s="171">
        <f t="shared" si="5"/>
        <v>120352</v>
      </c>
      <c r="L109" s="171">
        <f t="shared" si="6"/>
        <v>0.120352</v>
      </c>
      <c r="M109" s="171">
        <f t="shared" si="7"/>
        <v>944.76319999999998</v>
      </c>
      <c r="T109" t="s">
        <v>875</v>
      </c>
    </row>
    <row r="110" spans="1:20">
      <c r="A110" t="s">
        <v>864</v>
      </c>
      <c r="B110" t="s">
        <v>879</v>
      </c>
      <c r="C110" t="s">
        <v>798</v>
      </c>
      <c r="D110">
        <v>400</v>
      </c>
      <c r="E110">
        <v>0</v>
      </c>
      <c r="G110" t="s">
        <v>897</v>
      </c>
      <c r="J110" s="171">
        <v>300.88</v>
      </c>
      <c r="K110" s="171">
        <f t="shared" si="5"/>
        <v>120352</v>
      </c>
      <c r="L110" s="171">
        <f t="shared" si="6"/>
        <v>0.120352</v>
      </c>
      <c r="M110" s="171">
        <f t="shared" si="7"/>
        <v>944.76319999999998</v>
      </c>
      <c r="T110" t="s">
        <v>875</v>
      </c>
    </row>
    <row r="111" spans="1:20">
      <c r="A111" t="s">
        <v>864</v>
      </c>
      <c r="B111" t="s">
        <v>880</v>
      </c>
      <c r="C111" t="s">
        <v>798</v>
      </c>
      <c r="D111">
        <v>400</v>
      </c>
      <c r="E111">
        <v>0</v>
      </c>
      <c r="G111" t="s">
        <v>897</v>
      </c>
      <c r="J111" s="171">
        <v>300.88</v>
      </c>
      <c r="K111" s="171">
        <f t="shared" si="5"/>
        <v>120352</v>
      </c>
      <c r="L111" s="171">
        <f t="shared" si="6"/>
        <v>0.120352</v>
      </c>
      <c r="M111" s="171">
        <f t="shared" si="7"/>
        <v>944.76319999999998</v>
      </c>
      <c r="T111" t="s">
        <v>875</v>
      </c>
    </row>
    <row r="112" spans="1:20">
      <c r="A112" t="s">
        <v>864</v>
      </c>
      <c r="B112" t="s">
        <v>881</v>
      </c>
      <c r="C112" t="s">
        <v>798</v>
      </c>
      <c r="D112">
        <v>400</v>
      </c>
      <c r="E112">
        <v>0</v>
      </c>
      <c r="G112" t="s">
        <v>897</v>
      </c>
      <c r="J112" s="171">
        <v>300.88</v>
      </c>
      <c r="K112" s="171">
        <f t="shared" si="5"/>
        <v>120352</v>
      </c>
      <c r="L112" s="171">
        <f t="shared" si="6"/>
        <v>0.120352</v>
      </c>
      <c r="M112" s="171">
        <f t="shared" si="7"/>
        <v>944.76319999999998</v>
      </c>
      <c r="T112" t="s">
        <v>875</v>
      </c>
    </row>
    <row r="113" spans="1:20">
      <c r="A113" t="s">
        <v>864</v>
      </c>
      <c r="B113" t="s">
        <v>882</v>
      </c>
      <c r="C113" t="s">
        <v>798</v>
      </c>
      <c r="D113">
        <v>400</v>
      </c>
      <c r="E113">
        <v>0</v>
      </c>
      <c r="G113" t="s">
        <v>897</v>
      </c>
      <c r="J113">
        <v>300.88</v>
      </c>
      <c r="K113" s="171">
        <f t="shared" si="5"/>
        <v>120352</v>
      </c>
      <c r="L113" s="171">
        <f t="shared" si="6"/>
        <v>0.120352</v>
      </c>
      <c r="M113" s="171">
        <f t="shared" si="7"/>
        <v>944.76319999999998</v>
      </c>
      <c r="T113" t="s">
        <v>875</v>
      </c>
    </row>
    <row r="114" spans="1:20">
      <c r="A114" t="s">
        <v>864</v>
      </c>
      <c r="B114" t="s">
        <v>883</v>
      </c>
      <c r="C114" t="s">
        <v>798</v>
      </c>
      <c r="D114">
        <v>400</v>
      </c>
      <c r="E114">
        <v>0</v>
      </c>
      <c r="G114" t="s">
        <v>897</v>
      </c>
      <c r="J114" s="171">
        <v>300.88</v>
      </c>
      <c r="K114" s="171">
        <f t="shared" si="5"/>
        <v>120352</v>
      </c>
      <c r="L114" s="171">
        <f t="shared" si="6"/>
        <v>0.120352</v>
      </c>
      <c r="M114" s="171">
        <f t="shared" si="7"/>
        <v>944.76319999999998</v>
      </c>
      <c r="T114" t="s">
        <v>875</v>
      </c>
    </row>
    <row r="115" spans="1:20">
      <c r="A115" t="s">
        <v>861</v>
      </c>
      <c r="B115" t="s">
        <v>909</v>
      </c>
      <c r="C115" t="s">
        <v>800</v>
      </c>
      <c r="D115">
        <v>1000</v>
      </c>
      <c r="E115">
        <v>0</v>
      </c>
      <c r="G115" t="s">
        <v>898</v>
      </c>
      <c r="J115" s="171">
        <v>152.44</v>
      </c>
      <c r="K115" s="171">
        <f t="shared" si="5"/>
        <v>152440</v>
      </c>
      <c r="L115" s="171">
        <f t="shared" si="6"/>
        <v>0.15243999999999999</v>
      </c>
      <c r="M115" s="171">
        <f t="shared" si="7"/>
        <v>1196.654</v>
      </c>
      <c r="T115" t="s">
        <v>875</v>
      </c>
    </row>
    <row r="116" spans="1:20">
      <c r="A116" t="s">
        <v>861</v>
      </c>
      <c r="B116" t="s">
        <v>910</v>
      </c>
      <c r="C116" t="s">
        <v>800</v>
      </c>
      <c r="D116">
        <v>1000</v>
      </c>
      <c r="E116">
        <v>0</v>
      </c>
      <c r="G116" t="s">
        <v>898</v>
      </c>
      <c r="J116" s="171">
        <v>152.44</v>
      </c>
      <c r="K116" s="171">
        <f t="shared" si="5"/>
        <v>152440</v>
      </c>
      <c r="L116" s="171">
        <f t="shared" si="6"/>
        <v>0.15243999999999999</v>
      </c>
      <c r="M116" s="171">
        <f t="shared" si="7"/>
        <v>1196.654</v>
      </c>
      <c r="T116" t="s">
        <v>875</v>
      </c>
    </row>
    <row r="117" spans="1:20">
      <c r="A117" t="s">
        <v>861</v>
      </c>
      <c r="B117" t="s">
        <v>911</v>
      </c>
      <c r="C117" t="s">
        <v>800</v>
      </c>
      <c r="D117">
        <v>1000</v>
      </c>
      <c r="E117">
        <v>0</v>
      </c>
      <c r="G117" t="s">
        <v>898</v>
      </c>
      <c r="J117">
        <v>152.44</v>
      </c>
      <c r="K117" s="171">
        <f t="shared" si="5"/>
        <v>152440</v>
      </c>
      <c r="L117" s="171">
        <f t="shared" si="6"/>
        <v>0.15243999999999999</v>
      </c>
      <c r="M117" s="171">
        <f t="shared" si="7"/>
        <v>1196.654</v>
      </c>
      <c r="T117" t="s">
        <v>875</v>
      </c>
    </row>
    <row r="118" spans="1:20">
      <c r="A118" t="s">
        <v>861</v>
      </c>
      <c r="B118" t="s">
        <v>913</v>
      </c>
      <c r="C118" t="s">
        <v>800</v>
      </c>
      <c r="D118">
        <v>1000</v>
      </c>
      <c r="E118">
        <v>0</v>
      </c>
      <c r="G118" t="s">
        <v>898</v>
      </c>
      <c r="J118" s="171">
        <v>152.44</v>
      </c>
      <c r="K118" s="171">
        <f t="shared" si="5"/>
        <v>152440</v>
      </c>
      <c r="L118" s="171">
        <f t="shared" si="6"/>
        <v>0.15243999999999999</v>
      </c>
      <c r="M118" s="171">
        <f t="shared" si="7"/>
        <v>1196.654</v>
      </c>
      <c r="T118" t="s">
        <v>875</v>
      </c>
    </row>
    <row r="119" spans="1:20">
      <c r="A119" t="s">
        <v>861</v>
      </c>
      <c r="B119" t="s">
        <v>900</v>
      </c>
      <c r="C119" t="s">
        <v>800</v>
      </c>
      <c r="D119">
        <v>1000</v>
      </c>
      <c r="E119">
        <v>0</v>
      </c>
      <c r="G119" t="s">
        <v>899</v>
      </c>
      <c r="J119" s="171">
        <v>340.2</v>
      </c>
      <c r="K119" s="171">
        <f t="shared" si="5"/>
        <v>340200</v>
      </c>
      <c r="L119" s="171">
        <f t="shared" si="6"/>
        <v>0.3402</v>
      </c>
      <c r="M119" s="171">
        <f t="shared" si="7"/>
        <v>2670.57</v>
      </c>
      <c r="T119" t="s">
        <v>875</v>
      </c>
    </row>
    <row r="120" spans="1:20">
      <c r="A120" t="s">
        <v>861</v>
      </c>
      <c r="B120" t="s">
        <v>902</v>
      </c>
      <c r="C120" t="s">
        <v>800</v>
      </c>
      <c r="D120">
        <v>900</v>
      </c>
      <c r="E120">
        <v>0</v>
      </c>
      <c r="G120" t="s">
        <v>899</v>
      </c>
      <c r="J120" s="171">
        <v>340.2</v>
      </c>
      <c r="K120" s="171">
        <f t="shared" si="5"/>
        <v>306180</v>
      </c>
      <c r="L120" s="171">
        <f t="shared" si="6"/>
        <v>0.30618000000000001</v>
      </c>
      <c r="M120" s="171">
        <f t="shared" si="7"/>
        <v>2403.5129999999999</v>
      </c>
      <c r="T120" t="s">
        <v>875</v>
      </c>
    </row>
    <row r="121" spans="1:20">
      <c r="A121" t="s">
        <v>861</v>
      </c>
      <c r="B121" t="s">
        <v>903</v>
      </c>
      <c r="C121" t="s">
        <v>800</v>
      </c>
      <c r="D121">
        <v>900</v>
      </c>
      <c r="E121">
        <v>0</v>
      </c>
      <c r="G121" t="s">
        <v>899</v>
      </c>
      <c r="J121">
        <v>340.2</v>
      </c>
      <c r="K121" s="171">
        <f t="shared" si="5"/>
        <v>306180</v>
      </c>
      <c r="L121" s="171">
        <f t="shared" si="6"/>
        <v>0.30618000000000001</v>
      </c>
      <c r="M121" s="171">
        <f t="shared" si="7"/>
        <v>2403.5129999999999</v>
      </c>
      <c r="T121" t="s">
        <v>875</v>
      </c>
    </row>
    <row r="122" spans="1:20">
      <c r="A122" t="s">
        <v>861</v>
      </c>
      <c r="B122" t="s">
        <v>904</v>
      </c>
      <c r="C122" t="s">
        <v>800</v>
      </c>
      <c r="D122">
        <v>1000</v>
      </c>
      <c r="E122">
        <v>0</v>
      </c>
      <c r="G122" t="s">
        <v>899</v>
      </c>
      <c r="J122" s="171">
        <v>340.2</v>
      </c>
      <c r="K122" s="171">
        <f t="shared" si="5"/>
        <v>340200</v>
      </c>
      <c r="L122" s="171">
        <f t="shared" si="6"/>
        <v>0.3402</v>
      </c>
      <c r="M122" s="171">
        <f t="shared" si="7"/>
        <v>2670.57</v>
      </c>
      <c r="T122" t="s">
        <v>875</v>
      </c>
    </row>
    <row r="123" spans="1:20">
      <c r="A123" t="s">
        <v>861</v>
      </c>
      <c r="B123" t="s">
        <v>905</v>
      </c>
      <c r="C123" t="s">
        <v>800</v>
      </c>
      <c r="D123">
        <v>1000</v>
      </c>
      <c r="E123">
        <v>0</v>
      </c>
      <c r="G123" t="s">
        <v>899</v>
      </c>
      <c r="J123" s="171">
        <v>340.2</v>
      </c>
      <c r="K123" s="171">
        <f t="shared" si="5"/>
        <v>340200</v>
      </c>
      <c r="L123" s="171">
        <f t="shared" si="6"/>
        <v>0.3402</v>
      </c>
      <c r="M123" s="171">
        <f t="shared" si="7"/>
        <v>2670.57</v>
      </c>
      <c r="T123" t="s">
        <v>875</v>
      </c>
    </row>
    <row r="124" spans="1:20">
      <c r="A124" t="s">
        <v>861</v>
      </c>
      <c r="B124" t="s">
        <v>906</v>
      </c>
      <c r="C124" t="s">
        <v>800</v>
      </c>
      <c r="D124">
        <v>900</v>
      </c>
      <c r="E124">
        <v>0</v>
      </c>
      <c r="G124" t="s">
        <v>899</v>
      </c>
      <c r="J124" s="171">
        <v>340.2</v>
      </c>
      <c r="K124" s="171">
        <f t="shared" si="5"/>
        <v>306180</v>
      </c>
      <c r="L124" s="171">
        <f t="shared" si="6"/>
        <v>0.30618000000000001</v>
      </c>
      <c r="M124" s="171">
        <f t="shared" si="7"/>
        <v>2403.5129999999999</v>
      </c>
      <c r="T124" t="s">
        <v>875</v>
      </c>
    </row>
    <row r="125" spans="1:20">
      <c r="A125" t="s">
        <v>861</v>
      </c>
      <c r="B125" t="s">
        <v>907</v>
      </c>
      <c r="C125" t="s">
        <v>800</v>
      </c>
      <c r="D125">
        <v>900</v>
      </c>
      <c r="E125">
        <v>0</v>
      </c>
      <c r="G125" t="s">
        <v>899</v>
      </c>
      <c r="J125" s="171">
        <v>340.2</v>
      </c>
      <c r="K125" s="171">
        <f t="shared" si="5"/>
        <v>306180</v>
      </c>
      <c r="L125" s="171">
        <f t="shared" si="6"/>
        <v>0.30618000000000001</v>
      </c>
      <c r="M125" s="171">
        <f t="shared" si="7"/>
        <v>2403.5129999999999</v>
      </c>
      <c r="T125" t="s">
        <v>875</v>
      </c>
    </row>
    <row r="126" spans="1:20">
      <c r="A126" t="s">
        <v>861</v>
      </c>
      <c r="B126" t="s">
        <v>908</v>
      </c>
      <c r="C126" t="s">
        <v>800</v>
      </c>
      <c r="D126">
        <v>1000</v>
      </c>
      <c r="E126">
        <v>0</v>
      </c>
      <c r="G126" t="s">
        <v>899</v>
      </c>
      <c r="J126" s="171">
        <v>340.2</v>
      </c>
      <c r="K126" s="171">
        <f t="shared" si="5"/>
        <v>340200</v>
      </c>
      <c r="L126" s="171">
        <f t="shared" si="6"/>
        <v>0.3402</v>
      </c>
      <c r="M126" s="171">
        <f t="shared" si="7"/>
        <v>2670.57</v>
      </c>
      <c r="T126" t="s">
        <v>875</v>
      </c>
    </row>
    <row r="127" spans="1:20">
      <c r="A127" t="s">
        <v>861</v>
      </c>
      <c r="B127" t="s">
        <v>921</v>
      </c>
      <c r="C127" t="s">
        <v>801</v>
      </c>
      <c r="D127">
        <v>640.31200000000001</v>
      </c>
      <c r="E127">
        <v>0</v>
      </c>
      <c r="G127" t="s">
        <v>926</v>
      </c>
      <c r="J127" s="171">
        <v>40</v>
      </c>
      <c r="K127" s="171">
        <f t="shared" si="5"/>
        <v>25612.48</v>
      </c>
      <c r="L127" s="171">
        <f t="shared" si="6"/>
        <v>2.561248E-2</v>
      </c>
      <c r="M127" s="171">
        <f t="shared" si="7"/>
        <v>201.05796799999999</v>
      </c>
      <c r="T127" t="s">
        <v>875</v>
      </c>
    </row>
    <row r="128" spans="1:20">
      <c r="A128" t="s">
        <v>861</v>
      </c>
      <c r="B128" t="s">
        <v>923</v>
      </c>
      <c r="C128" t="s">
        <v>801</v>
      </c>
      <c r="D128">
        <v>640.31200000000001</v>
      </c>
      <c r="E128">
        <v>0</v>
      </c>
      <c r="G128" t="s">
        <v>926</v>
      </c>
      <c r="J128" s="171">
        <v>40</v>
      </c>
      <c r="K128" s="171">
        <f t="shared" si="5"/>
        <v>25612.48</v>
      </c>
      <c r="L128" s="171">
        <f t="shared" si="6"/>
        <v>2.561248E-2</v>
      </c>
      <c r="M128" s="171">
        <f t="shared" si="7"/>
        <v>201.05796799999999</v>
      </c>
      <c r="T128" t="s">
        <v>875</v>
      </c>
    </row>
    <row r="129" spans="1:20">
      <c r="A129" t="s">
        <v>861</v>
      </c>
      <c r="B129" t="s">
        <v>924</v>
      </c>
      <c r="C129" t="s">
        <v>801</v>
      </c>
      <c r="D129">
        <v>640.31200000000001</v>
      </c>
      <c r="E129">
        <v>0</v>
      </c>
      <c r="G129" t="s">
        <v>926</v>
      </c>
      <c r="J129" s="171">
        <v>40</v>
      </c>
      <c r="K129" s="171">
        <f t="shared" ref="K129:K192" si="8">J129*D129</f>
        <v>25612.48</v>
      </c>
      <c r="L129" s="171">
        <f t="shared" ref="L129:L192" si="9">K129/1000000</f>
        <v>2.561248E-2</v>
      </c>
      <c r="M129" s="171">
        <f t="shared" ref="M129:M192" si="10">L129*7850</f>
        <v>201.05796799999999</v>
      </c>
      <c r="T129" t="s">
        <v>875</v>
      </c>
    </row>
    <row r="130" spans="1:20">
      <c r="A130" t="s">
        <v>861</v>
      </c>
      <c r="B130" t="s">
        <v>925</v>
      </c>
      <c r="C130" t="s">
        <v>801</v>
      </c>
      <c r="D130">
        <v>640.31200000000001</v>
      </c>
      <c r="E130">
        <v>0</v>
      </c>
      <c r="G130" t="s">
        <v>926</v>
      </c>
      <c r="J130" s="171">
        <v>40</v>
      </c>
      <c r="K130" s="171">
        <f t="shared" si="8"/>
        <v>25612.48</v>
      </c>
      <c r="L130" s="171">
        <f t="shared" si="9"/>
        <v>2.561248E-2</v>
      </c>
      <c r="M130" s="171">
        <f t="shared" si="10"/>
        <v>201.05796799999999</v>
      </c>
      <c r="T130" t="s">
        <v>875</v>
      </c>
    </row>
    <row r="131" spans="1:20">
      <c r="A131" t="s">
        <v>861</v>
      </c>
      <c r="B131" t="s">
        <v>917</v>
      </c>
      <c r="C131" t="s">
        <v>801</v>
      </c>
      <c r="D131">
        <v>583.63099999999997</v>
      </c>
      <c r="E131">
        <v>0</v>
      </c>
      <c r="G131" t="s">
        <v>898</v>
      </c>
      <c r="J131" s="171">
        <v>152.44</v>
      </c>
      <c r="K131" s="171">
        <f t="shared" si="8"/>
        <v>88968.709640000001</v>
      </c>
      <c r="L131" s="171">
        <f t="shared" si="9"/>
        <v>8.8968709640000004E-2</v>
      </c>
      <c r="M131" s="171">
        <f t="shared" si="10"/>
        <v>698.40437067400001</v>
      </c>
      <c r="T131" t="s">
        <v>875</v>
      </c>
    </row>
    <row r="132" spans="1:20">
      <c r="A132" t="s">
        <v>861</v>
      </c>
      <c r="B132" t="s">
        <v>918</v>
      </c>
      <c r="C132" t="s">
        <v>801</v>
      </c>
      <c r="D132">
        <v>583.63099999999997</v>
      </c>
      <c r="E132">
        <v>0</v>
      </c>
      <c r="G132" t="s">
        <v>898</v>
      </c>
      <c r="J132" s="171">
        <v>152.44</v>
      </c>
      <c r="K132" s="171">
        <f t="shared" si="8"/>
        <v>88968.709640000001</v>
      </c>
      <c r="L132" s="171">
        <f t="shared" si="9"/>
        <v>8.8968709640000004E-2</v>
      </c>
      <c r="M132" s="171">
        <f t="shared" si="10"/>
        <v>698.40437067400001</v>
      </c>
      <c r="T132" t="s">
        <v>875</v>
      </c>
    </row>
    <row r="133" spans="1:20">
      <c r="A133" t="s">
        <v>861</v>
      </c>
      <c r="B133" t="s">
        <v>919</v>
      </c>
      <c r="C133" t="s">
        <v>801</v>
      </c>
      <c r="D133">
        <v>583.63099999999997</v>
      </c>
      <c r="E133">
        <v>0</v>
      </c>
      <c r="G133" t="s">
        <v>898</v>
      </c>
      <c r="J133" s="171">
        <v>152.44</v>
      </c>
      <c r="K133" s="171">
        <f t="shared" si="8"/>
        <v>88968.709640000001</v>
      </c>
      <c r="L133" s="171">
        <f t="shared" si="9"/>
        <v>8.8968709640000004E-2</v>
      </c>
      <c r="M133" s="171">
        <f t="shared" si="10"/>
        <v>698.40437067400001</v>
      </c>
      <c r="T133" t="s">
        <v>875</v>
      </c>
    </row>
    <row r="134" spans="1:20">
      <c r="A134" t="s">
        <v>861</v>
      </c>
      <c r="B134" t="s">
        <v>920</v>
      </c>
      <c r="C134" t="s">
        <v>801</v>
      </c>
      <c r="D134">
        <v>583.63099999999997</v>
      </c>
      <c r="E134">
        <v>0</v>
      </c>
      <c r="G134" t="s">
        <v>898</v>
      </c>
      <c r="J134" s="171">
        <v>152.44</v>
      </c>
      <c r="K134" s="171">
        <f t="shared" si="8"/>
        <v>88968.709640000001</v>
      </c>
      <c r="L134" s="171">
        <f t="shared" si="9"/>
        <v>8.8968709640000004E-2</v>
      </c>
      <c r="M134" s="171">
        <f t="shared" si="10"/>
        <v>698.40437067400001</v>
      </c>
      <c r="T134" t="s">
        <v>875</v>
      </c>
    </row>
    <row r="135" spans="1:20">
      <c r="A135" t="s">
        <v>861</v>
      </c>
      <c r="B135" t="s">
        <v>873</v>
      </c>
      <c r="C135" t="s">
        <v>798</v>
      </c>
      <c r="D135">
        <v>400</v>
      </c>
      <c r="E135">
        <v>0</v>
      </c>
      <c r="G135" t="s">
        <v>896</v>
      </c>
      <c r="J135" s="171">
        <v>1700</v>
      </c>
      <c r="K135" s="171">
        <f t="shared" si="8"/>
        <v>680000</v>
      </c>
      <c r="L135" s="171">
        <f t="shared" si="9"/>
        <v>0.68</v>
      </c>
      <c r="M135" s="171">
        <f t="shared" si="10"/>
        <v>5338</v>
      </c>
      <c r="T135" t="s">
        <v>875</v>
      </c>
    </row>
    <row r="136" spans="1:20">
      <c r="A136" t="s">
        <v>861</v>
      </c>
      <c r="B136" t="s">
        <v>876</v>
      </c>
      <c r="C136" t="s">
        <v>798</v>
      </c>
      <c r="D136">
        <v>400</v>
      </c>
      <c r="E136">
        <v>0</v>
      </c>
      <c r="G136" t="s">
        <v>896</v>
      </c>
      <c r="J136" s="171">
        <v>1700</v>
      </c>
      <c r="K136" s="171">
        <f t="shared" si="8"/>
        <v>680000</v>
      </c>
      <c r="L136" s="171">
        <f t="shared" si="9"/>
        <v>0.68</v>
      </c>
      <c r="M136" s="171">
        <f t="shared" si="10"/>
        <v>5338</v>
      </c>
      <c r="T136" t="s">
        <v>875</v>
      </c>
    </row>
    <row r="137" spans="1:20">
      <c r="A137" t="s">
        <v>861</v>
      </c>
      <c r="B137" t="s">
        <v>884</v>
      </c>
      <c r="C137" t="s">
        <v>798</v>
      </c>
      <c r="D137">
        <v>400</v>
      </c>
      <c r="E137">
        <v>0</v>
      </c>
      <c r="G137" t="s">
        <v>896</v>
      </c>
      <c r="J137">
        <v>1700</v>
      </c>
      <c r="K137" s="171">
        <f t="shared" si="8"/>
        <v>680000</v>
      </c>
      <c r="L137" s="171">
        <f t="shared" si="9"/>
        <v>0.68</v>
      </c>
      <c r="M137" s="171">
        <f t="shared" si="10"/>
        <v>5338</v>
      </c>
      <c r="T137" t="s">
        <v>875</v>
      </c>
    </row>
    <row r="138" spans="1:20">
      <c r="A138" t="s">
        <v>861</v>
      </c>
      <c r="B138" t="s">
        <v>885</v>
      </c>
      <c r="C138" t="s">
        <v>798</v>
      </c>
      <c r="D138">
        <v>400</v>
      </c>
      <c r="E138">
        <v>0</v>
      </c>
      <c r="G138" t="s">
        <v>896</v>
      </c>
      <c r="J138" s="171">
        <v>1700</v>
      </c>
      <c r="K138" s="171">
        <f t="shared" si="8"/>
        <v>680000</v>
      </c>
      <c r="L138" s="171">
        <f t="shared" si="9"/>
        <v>0.68</v>
      </c>
      <c r="M138" s="171">
        <f t="shared" si="10"/>
        <v>5338</v>
      </c>
      <c r="T138" t="s">
        <v>875</v>
      </c>
    </row>
    <row r="139" spans="1:20">
      <c r="A139" t="s">
        <v>861</v>
      </c>
      <c r="B139" t="s">
        <v>886</v>
      </c>
      <c r="C139" t="s">
        <v>798</v>
      </c>
      <c r="D139">
        <v>400</v>
      </c>
      <c r="E139">
        <v>0</v>
      </c>
      <c r="G139" t="s">
        <v>898</v>
      </c>
      <c r="J139" s="171">
        <v>152.44</v>
      </c>
      <c r="K139" s="171">
        <f t="shared" si="8"/>
        <v>60976</v>
      </c>
      <c r="L139" s="171">
        <f t="shared" si="9"/>
        <v>6.0976000000000002E-2</v>
      </c>
      <c r="M139" s="171">
        <f t="shared" si="10"/>
        <v>478.66160000000002</v>
      </c>
      <c r="T139" t="s">
        <v>875</v>
      </c>
    </row>
    <row r="140" spans="1:20">
      <c r="A140" t="s">
        <v>861</v>
      </c>
      <c r="B140" t="s">
        <v>888</v>
      </c>
      <c r="C140" t="s">
        <v>798</v>
      </c>
      <c r="D140">
        <v>400</v>
      </c>
      <c r="E140">
        <v>0</v>
      </c>
      <c r="G140" t="s">
        <v>898</v>
      </c>
      <c r="J140" s="171">
        <v>152.44</v>
      </c>
      <c r="K140" s="171">
        <f t="shared" si="8"/>
        <v>60976</v>
      </c>
      <c r="L140" s="171">
        <f t="shared" si="9"/>
        <v>6.0976000000000002E-2</v>
      </c>
      <c r="M140" s="171">
        <f t="shared" si="10"/>
        <v>478.66160000000002</v>
      </c>
      <c r="T140" t="s">
        <v>875</v>
      </c>
    </row>
    <row r="141" spans="1:20">
      <c r="A141" t="s">
        <v>861</v>
      </c>
      <c r="B141" t="s">
        <v>889</v>
      </c>
      <c r="C141" t="s">
        <v>798</v>
      </c>
      <c r="D141">
        <v>400</v>
      </c>
      <c r="E141">
        <v>0</v>
      </c>
      <c r="G141" t="s">
        <v>898</v>
      </c>
      <c r="J141" s="171">
        <v>152.44</v>
      </c>
      <c r="K141" s="171">
        <f t="shared" si="8"/>
        <v>60976</v>
      </c>
      <c r="L141" s="171">
        <f t="shared" si="9"/>
        <v>6.0976000000000002E-2</v>
      </c>
      <c r="M141" s="171">
        <f t="shared" si="10"/>
        <v>478.66160000000002</v>
      </c>
      <c r="T141" t="s">
        <v>875</v>
      </c>
    </row>
    <row r="142" spans="1:20">
      <c r="A142" t="s">
        <v>861</v>
      </c>
      <c r="B142" t="s">
        <v>890</v>
      </c>
      <c r="C142" t="s">
        <v>798</v>
      </c>
      <c r="D142">
        <v>400</v>
      </c>
      <c r="E142">
        <v>0</v>
      </c>
      <c r="G142" t="s">
        <v>898</v>
      </c>
      <c r="J142" s="171">
        <v>152.44</v>
      </c>
      <c r="K142" s="171">
        <f t="shared" si="8"/>
        <v>60976</v>
      </c>
      <c r="L142" s="171">
        <f t="shared" si="9"/>
        <v>6.0976000000000002E-2</v>
      </c>
      <c r="M142" s="171">
        <f t="shared" si="10"/>
        <v>478.66160000000002</v>
      </c>
      <c r="T142" t="s">
        <v>875</v>
      </c>
    </row>
    <row r="143" spans="1:20">
      <c r="A143" t="s">
        <v>861</v>
      </c>
      <c r="B143" t="s">
        <v>891</v>
      </c>
      <c r="C143" t="s">
        <v>798</v>
      </c>
      <c r="D143">
        <v>400</v>
      </c>
      <c r="E143">
        <v>0</v>
      </c>
      <c r="G143" t="s">
        <v>898</v>
      </c>
      <c r="J143" s="171">
        <v>152.44</v>
      </c>
      <c r="K143" s="171">
        <f t="shared" si="8"/>
        <v>60976</v>
      </c>
      <c r="L143" s="171">
        <f t="shared" si="9"/>
        <v>6.0976000000000002E-2</v>
      </c>
      <c r="M143" s="171">
        <f t="shared" si="10"/>
        <v>478.66160000000002</v>
      </c>
      <c r="T143" t="s">
        <v>875</v>
      </c>
    </row>
    <row r="144" spans="1:20">
      <c r="A144" t="s">
        <v>861</v>
      </c>
      <c r="B144" t="s">
        <v>893</v>
      </c>
      <c r="C144" t="s">
        <v>798</v>
      </c>
      <c r="D144">
        <v>400</v>
      </c>
      <c r="E144">
        <v>0</v>
      </c>
      <c r="G144" t="s">
        <v>898</v>
      </c>
      <c r="J144" s="171">
        <v>152.44</v>
      </c>
      <c r="K144" s="171">
        <f t="shared" si="8"/>
        <v>60976</v>
      </c>
      <c r="L144" s="171">
        <f t="shared" si="9"/>
        <v>6.0976000000000002E-2</v>
      </c>
      <c r="M144" s="171">
        <f t="shared" si="10"/>
        <v>478.66160000000002</v>
      </c>
      <c r="T144" t="s">
        <v>875</v>
      </c>
    </row>
    <row r="145" spans="1:20">
      <c r="A145" t="s">
        <v>861</v>
      </c>
      <c r="B145" t="s">
        <v>894</v>
      </c>
      <c r="C145" t="s">
        <v>798</v>
      </c>
      <c r="D145">
        <v>400</v>
      </c>
      <c r="E145">
        <v>0</v>
      </c>
      <c r="G145" t="s">
        <v>898</v>
      </c>
      <c r="J145" s="171">
        <v>152.44</v>
      </c>
      <c r="K145" s="171">
        <f t="shared" si="8"/>
        <v>60976</v>
      </c>
      <c r="L145" s="171">
        <f t="shared" si="9"/>
        <v>6.0976000000000002E-2</v>
      </c>
      <c r="M145" s="171">
        <f t="shared" si="10"/>
        <v>478.66160000000002</v>
      </c>
      <c r="T145" t="s">
        <v>875</v>
      </c>
    </row>
    <row r="146" spans="1:20">
      <c r="A146" t="s">
        <v>861</v>
      </c>
      <c r="B146" t="s">
        <v>895</v>
      </c>
      <c r="C146" t="s">
        <v>798</v>
      </c>
      <c r="D146">
        <v>400</v>
      </c>
      <c r="E146">
        <v>0</v>
      </c>
      <c r="G146" t="s">
        <v>898</v>
      </c>
      <c r="J146" s="171">
        <v>152.44</v>
      </c>
      <c r="K146" s="171">
        <f t="shared" si="8"/>
        <v>60976</v>
      </c>
      <c r="L146" s="171">
        <f t="shared" si="9"/>
        <v>6.0976000000000002E-2</v>
      </c>
      <c r="M146" s="171">
        <f t="shared" si="10"/>
        <v>478.66160000000002</v>
      </c>
      <c r="T146" t="s">
        <v>875</v>
      </c>
    </row>
    <row r="147" spans="1:20">
      <c r="A147" t="s">
        <v>861</v>
      </c>
      <c r="B147" t="s">
        <v>877</v>
      </c>
      <c r="C147" t="s">
        <v>798</v>
      </c>
      <c r="D147">
        <v>400</v>
      </c>
      <c r="E147">
        <v>0</v>
      </c>
      <c r="G147" t="s">
        <v>897</v>
      </c>
      <c r="J147" s="171">
        <v>300.88</v>
      </c>
      <c r="K147" s="171">
        <f t="shared" si="8"/>
        <v>120352</v>
      </c>
      <c r="L147" s="171">
        <f t="shared" si="9"/>
        <v>0.120352</v>
      </c>
      <c r="M147" s="171">
        <f t="shared" si="10"/>
        <v>944.76319999999998</v>
      </c>
      <c r="T147" t="s">
        <v>875</v>
      </c>
    </row>
    <row r="148" spans="1:20">
      <c r="A148" t="s">
        <v>861</v>
      </c>
      <c r="B148" t="s">
        <v>879</v>
      </c>
      <c r="C148" t="s">
        <v>798</v>
      </c>
      <c r="D148">
        <v>400</v>
      </c>
      <c r="E148">
        <v>0</v>
      </c>
      <c r="G148" t="s">
        <v>897</v>
      </c>
      <c r="J148" s="171">
        <v>300.88</v>
      </c>
      <c r="K148" s="171">
        <f t="shared" si="8"/>
        <v>120352</v>
      </c>
      <c r="L148" s="171">
        <f t="shared" si="9"/>
        <v>0.120352</v>
      </c>
      <c r="M148" s="171">
        <f t="shared" si="10"/>
        <v>944.76319999999998</v>
      </c>
      <c r="T148" t="s">
        <v>875</v>
      </c>
    </row>
    <row r="149" spans="1:20">
      <c r="A149" t="s">
        <v>861</v>
      </c>
      <c r="B149" t="s">
        <v>880</v>
      </c>
      <c r="C149" t="s">
        <v>798</v>
      </c>
      <c r="D149">
        <v>400</v>
      </c>
      <c r="E149">
        <v>0</v>
      </c>
      <c r="G149" t="s">
        <v>897</v>
      </c>
      <c r="J149" s="171">
        <v>300.88</v>
      </c>
      <c r="K149" s="171">
        <f t="shared" si="8"/>
        <v>120352</v>
      </c>
      <c r="L149" s="171">
        <f t="shared" si="9"/>
        <v>0.120352</v>
      </c>
      <c r="M149" s="171">
        <f t="shared" si="10"/>
        <v>944.76319999999998</v>
      </c>
      <c r="T149" t="s">
        <v>875</v>
      </c>
    </row>
    <row r="150" spans="1:20">
      <c r="A150" t="s">
        <v>861</v>
      </c>
      <c r="B150" t="s">
        <v>881</v>
      </c>
      <c r="C150" t="s">
        <v>798</v>
      </c>
      <c r="D150">
        <v>400</v>
      </c>
      <c r="E150">
        <v>0</v>
      </c>
      <c r="G150" t="s">
        <v>897</v>
      </c>
      <c r="J150" s="171">
        <v>300.88</v>
      </c>
      <c r="K150" s="171">
        <f t="shared" si="8"/>
        <v>120352</v>
      </c>
      <c r="L150" s="171">
        <f t="shared" si="9"/>
        <v>0.120352</v>
      </c>
      <c r="M150" s="171">
        <f t="shared" si="10"/>
        <v>944.76319999999998</v>
      </c>
      <c r="T150" t="s">
        <v>875</v>
      </c>
    </row>
    <row r="151" spans="1:20">
      <c r="A151" t="s">
        <v>861</v>
      </c>
      <c r="B151" t="s">
        <v>882</v>
      </c>
      <c r="C151" t="s">
        <v>798</v>
      </c>
      <c r="D151">
        <v>400</v>
      </c>
      <c r="E151">
        <v>0</v>
      </c>
      <c r="G151" t="s">
        <v>897</v>
      </c>
      <c r="J151" s="171">
        <v>300.88</v>
      </c>
      <c r="K151" s="171">
        <f t="shared" si="8"/>
        <v>120352</v>
      </c>
      <c r="L151" s="171">
        <f t="shared" si="9"/>
        <v>0.120352</v>
      </c>
      <c r="M151" s="171">
        <f t="shared" si="10"/>
        <v>944.76319999999998</v>
      </c>
      <c r="T151" t="s">
        <v>875</v>
      </c>
    </row>
    <row r="152" spans="1:20">
      <c r="A152" t="s">
        <v>861</v>
      </c>
      <c r="B152" t="s">
        <v>883</v>
      </c>
      <c r="C152" t="s">
        <v>798</v>
      </c>
      <c r="D152">
        <v>400</v>
      </c>
      <c r="E152">
        <v>0</v>
      </c>
      <c r="G152" t="s">
        <v>897</v>
      </c>
      <c r="J152" s="171">
        <v>300.88</v>
      </c>
      <c r="K152" s="171">
        <f t="shared" si="8"/>
        <v>120352</v>
      </c>
      <c r="L152" s="171">
        <f t="shared" si="9"/>
        <v>0.120352</v>
      </c>
      <c r="M152" s="171">
        <f t="shared" si="10"/>
        <v>944.76319999999998</v>
      </c>
      <c r="T152" t="s">
        <v>875</v>
      </c>
    </row>
    <row r="153" spans="1:20">
      <c r="A153" t="s">
        <v>858</v>
      </c>
      <c r="B153" t="s">
        <v>909</v>
      </c>
      <c r="C153" t="s">
        <v>800</v>
      </c>
      <c r="D153">
        <v>1000</v>
      </c>
      <c r="E153">
        <v>0</v>
      </c>
      <c r="G153" t="s">
        <v>898</v>
      </c>
      <c r="J153" s="171">
        <v>152.44</v>
      </c>
      <c r="K153" s="171">
        <f t="shared" si="8"/>
        <v>152440</v>
      </c>
      <c r="L153" s="171">
        <f t="shared" si="9"/>
        <v>0.15243999999999999</v>
      </c>
      <c r="M153" s="171">
        <f t="shared" si="10"/>
        <v>1196.654</v>
      </c>
      <c r="T153" t="s">
        <v>875</v>
      </c>
    </row>
    <row r="154" spans="1:20">
      <c r="A154" t="s">
        <v>858</v>
      </c>
      <c r="B154" t="s">
        <v>910</v>
      </c>
      <c r="C154" t="s">
        <v>800</v>
      </c>
      <c r="D154">
        <v>1000</v>
      </c>
      <c r="E154">
        <v>0</v>
      </c>
      <c r="G154" t="s">
        <v>898</v>
      </c>
      <c r="J154" s="171">
        <v>152.44</v>
      </c>
      <c r="K154" s="171">
        <f t="shared" si="8"/>
        <v>152440</v>
      </c>
      <c r="L154" s="171">
        <f t="shared" si="9"/>
        <v>0.15243999999999999</v>
      </c>
      <c r="M154" s="171">
        <f t="shared" si="10"/>
        <v>1196.654</v>
      </c>
      <c r="T154" t="s">
        <v>875</v>
      </c>
    </row>
    <row r="155" spans="1:20">
      <c r="A155" t="s">
        <v>858</v>
      </c>
      <c r="B155" t="s">
        <v>911</v>
      </c>
      <c r="C155" t="s">
        <v>800</v>
      </c>
      <c r="D155">
        <v>1000</v>
      </c>
      <c r="E155">
        <v>0</v>
      </c>
      <c r="G155" t="s">
        <v>912</v>
      </c>
      <c r="J155" s="171">
        <v>149.28</v>
      </c>
      <c r="K155" s="171">
        <f t="shared" si="8"/>
        <v>149280</v>
      </c>
      <c r="L155" s="171">
        <f t="shared" si="9"/>
        <v>0.14928</v>
      </c>
      <c r="M155" s="171">
        <f t="shared" si="10"/>
        <v>1171.848</v>
      </c>
      <c r="T155" t="s">
        <v>875</v>
      </c>
    </row>
    <row r="156" spans="1:20">
      <c r="A156" t="s">
        <v>858</v>
      </c>
      <c r="B156" t="s">
        <v>913</v>
      </c>
      <c r="C156" t="s">
        <v>800</v>
      </c>
      <c r="D156">
        <v>1000</v>
      </c>
      <c r="E156">
        <v>0</v>
      </c>
      <c r="G156" t="s">
        <v>912</v>
      </c>
      <c r="J156" s="171">
        <v>149.28</v>
      </c>
      <c r="K156" s="171">
        <f t="shared" si="8"/>
        <v>149280</v>
      </c>
      <c r="L156" s="171">
        <f t="shared" si="9"/>
        <v>0.14928</v>
      </c>
      <c r="M156" s="171">
        <f t="shared" si="10"/>
        <v>1171.848</v>
      </c>
      <c r="T156" t="s">
        <v>875</v>
      </c>
    </row>
    <row r="157" spans="1:20">
      <c r="A157" t="s">
        <v>858</v>
      </c>
      <c r="B157" t="s">
        <v>900</v>
      </c>
      <c r="C157" t="s">
        <v>800</v>
      </c>
      <c r="D157">
        <v>1000</v>
      </c>
      <c r="E157">
        <v>0</v>
      </c>
      <c r="G157" t="s">
        <v>901</v>
      </c>
      <c r="J157" s="171">
        <v>307.48</v>
      </c>
      <c r="K157" s="171">
        <f t="shared" si="8"/>
        <v>307480</v>
      </c>
      <c r="L157" s="171">
        <f t="shared" si="9"/>
        <v>0.30747999999999998</v>
      </c>
      <c r="M157" s="171">
        <f t="shared" si="10"/>
        <v>2413.7179999999998</v>
      </c>
      <c r="T157" t="s">
        <v>875</v>
      </c>
    </row>
    <row r="158" spans="1:20">
      <c r="A158" t="s">
        <v>858</v>
      </c>
      <c r="B158" t="s">
        <v>902</v>
      </c>
      <c r="C158" t="s">
        <v>800</v>
      </c>
      <c r="D158">
        <v>900</v>
      </c>
      <c r="E158">
        <v>0</v>
      </c>
      <c r="G158" t="s">
        <v>901</v>
      </c>
      <c r="J158" s="171">
        <v>307.48</v>
      </c>
      <c r="K158" s="171">
        <f t="shared" si="8"/>
        <v>276732</v>
      </c>
      <c r="L158" s="171">
        <f t="shared" si="9"/>
        <v>0.27673199999999998</v>
      </c>
      <c r="M158" s="171">
        <f t="shared" si="10"/>
        <v>2172.3462</v>
      </c>
      <c r="T158" t="s">
        <v>875</v>
      </c>
    </row>
    <row r="159" spans="1:20">
      <c r="A159" t="s">
        <v>858</v>
      </c>
      <c r="B159" t="s">
        <v>903</v>
      </c>
      <c r="C159" t="s">
        <v>800</v>
      </c>
      <c r="D159">
        <v>900</v>
      </c>
      <c r="E159">
        <v>0</v>
      </c>
      <c r="G159" t="s">
        <v>901</v>
      </c>
      <c r="J159" s="171">
        <v>307.48</v>
      </c>
      <c r="K159" s="171">
        <f t="shared" si="8"/>
        <v>276732</v>
      </c>
      <c r="L159" s="171">
        <f t="shared" si="9"/>
        <v>0.27673199999999998</v>
      </c>
      <c r="M159" s="171">
        <f t="shared" si="10"/>
        <v>2172.3462</v>
      </c>
      <c r="T159" t="s">
        <v>875</v>
      </c>
    </row>
    <row r="160" spans="1:20">
      <c r="A160" t="s">
        <v>858</v>
      </c>
      <c r="B160" t="s">
        <v>904</v>
      </c>
      <c r="C160" t="s">
        <v>800</v>
      </c>
      <c r="D160">
        <v>1000</v>
      </c>
      <c r="E160">
        <v>0</v>
      </c>
      <c r="G160" t="s">
        <v>901</v>
      </c>
      <c r="J160" s="171">
        <v>307.48</v>
      </c>
      <c r="K160" s="171">
        <f t="shared" si="8"/>
        <v>307480</v>
      </c>
      <c r="L160" s="171">
        <f t="shared" si="9"/>
        <v>0.30747999999999998</v>
      </c>
      <c r="M160" s="171">
        <f t="shared" si="10"/>
        <v>2413.7179999999998</v>
      </c>
      <c r="T160" t="s">
        <v>875</v>
      </c>
    </row>
    <row r="161" spans="1:20">
      <c r="A161" t="s">
        <v>858</v>
      </c>
      <c r="B161" t="s">
        <v>905</v>
      </c>
      <c r="C161" t="s">
        <v>800</v>
      </c>
      <c r="D161">
        <v>1000</v>
      </c>
      <c r="E161">
        <v>0</v>
      </c>
      <c r="G161" t="s">
        <v>901</v>
      </c>
      <c r="J161" s="171">
        <v>307.48</v>
      </c>
      <c r="K161" s="171">
        <f t="shared" si="8"/>
        <v>307480</v>
      </c>
      <c r="L161" s="171">
        <f t="shared" si="9"/>
        <v>0.30747999999999998</v>
      </c>
      <c r="M161" s="171">
        <f t="shared" si="10"/>
        <v>2413.7179999999998</v>
      </c>
      <c r="T161" t="s">
        <v>875</v>
      </c>
    </row>
    <row r="162" spans="1:20">
      <c r="A162" t="s">
        <v>858</v>
      </c>
      <c r="B162" t="s">
        <v>906</v>
      </c>
      <c r="C162" t="s">
        <v>800</v>
      </c>
      <c r="D162">
        <v>900</v>
      </c>
      <c r="E162">
        <v>0</v>
      </c>
      <c r="G162" t="s">
        <v>901</v>
      </c>
      <c r="J162" s="171">
        <v>307.48</v>
      </c>
      <c r="K162" s="171">
        <f t="shared" si="8"/>
        <v>276732</v>
      </c>
      <c r="L162" s="171">
        <f t="shared" si="9"/>
        <v>0.27673199999999998</v>
      </c>
      <c r="M162" s="171">
        <f t="shared" si="10"/>
        <v>2172.3462</v>
      </c>
      <c r="T162" t="s">
        <v>875</v>
      </c>
    </row>
    <row r="163" spans="1:20">
      <c r="A163" t="s">
        <v>858</v>
      </c>
      <c r="B163" t="s">
        <v>907</v>
      </c>
      <c r="C163" t="s">
        <v>800</v>
      </c>
      <c r="D163">
        <v>900</v>
      </c>
      <c r="E163">
        <v>0</v>
      </c>
      <c r="G163" t="s">
        <v>901</v>
      </c>
      <c r="J163" s="171">
        <v>307.48</v>
      </c>
      <c r="K163" s="171">
        <f t="shared" si="8"/>
        <v>276732</v>
      </c>
      <c r="L163" s="171">
        <f t="shared" si="9"/>
        <v>0.27673199999999998</v>
      </c>
      <c r="M163" s="171">
        <f t="shared" si="10"/>
        <v>2172.3462</v>
      </c>
      <c r="T163" t="s">
        <v>875</v>
      </c>
    </row>
    <row r="164" spans="1:20">
      <c r="A164" t="s">
        <v>858</v>
      </c>
      <c r="B164" t="s">
        <v>908</v>
      </c>
      <c r="C164" t="s">
        <v>800</v>
      </c>
      <c r="D164">
        <v>1000</v>
      </c>
      <c r="E164">
        <v>0</v>
      </c>
      <c r="G164" t="s">
        <v>901</v>
      </c>
      <c r="J164" s="171">
        <v>307.48</v>
      </c>
      <c r="K164" s="171">
        <f t="shared" si="8"/>
        <v>307480</v>
      </c>
      <c r="L164" s="171">
        <f t="shared" si="9"/>
        <v>0.30747999999999998</v>
      </c>
      <c r="M164" s="171">
        <f t="shared" si="10"/>
        <v>2413.7179999999998</v>
      </c>
      <c r="T164" t="s">
        <v>875</v>
      </c>
    </row>
    <row r="165" spans="1:20">
      <c r="A165" t="s">
        <v>858</v>
      </c>
      <c r="B165" t="s">
        <v>921</v>
      </c>
      <c r="C165" t="s">
        <v>801</v>
      </c>
      <c r="D165">
        <v>640.31200000000001</v>
      </c>
      <c r="E165">
        <v>0</v>
      </c>
      <c r="G165" t="s">
        <v>922</v>
      </c>
      <c r="J165" s="171">
        <v>36</v>
      </c>
      <c r="K165" s="171">
        <f t="shared" si="8"/>
        <v>23051.232</v>
      </c>
      <c r="L165" s="171">
        <f t="shared" si="9"/>
        <v>2.3051232000000001E-2</v>
      </c>
      <c r="M165" s="171">
        <f t="shared" si="10"/>
        <v>180.95217120000001</v>
      </c>
      <c r="T165" t="s">
        <v>875</v>
      </c>
    </row>
    <row r="166" spans="1:20">
      <c r="A166" t="s">
        <v>858</v>
      </c>
      <c r="B166" t="s">
        <v>923</v>
      </c>
      <c r="C166" t="s">
        <v>801</v>
      </c>
      <c r="D166">
        <v>640.31200000000001</v>
      </c>
      <c r="E166">
        <v>0</v>
      </c>
      <c r="G166" t="s">
        <v>922</v>
      </c>
      <c r="J166" s="171">
        <v>36</v>
      </c>
      <c r="K166" s="171">
        <f t="shared" si="8"/>
        <v>23051.232</v>
      </c>
      <c r="L166" s="171">
        <f t="shared" si="9"/>
        <v>2.3051232000000001E-2</v>
      </c>
      <c r="M166" s="171">
        <f t="shared" si="10"/>
        <v>180.95217120000001</v>
      </c>
      <c r="T166" t="s">
        <v>875</v>
      </c>
    </row>
    <row r="167" spans="1:20">
      <c r="A167" t="s">
        <v>858</v>
      </c>
      <c r="B167" t="s">
        <v>924</v>
      </c>
      <c r="C167" t="s">
        <v>801</v>
      </c>
      <c r="D167">
        <v>640.31200000000001</v>
      </c>
      <c r="E167">
        <v>0</v>
      </c>
      <c r="G167" t="s">
        <v>922</v>
      </c>
      <c r="J167" s="171">
        <v>36</v>
      </c>
      <c r="K167" s="171">
        <f t="shared" si="8"/>
        <v>23051.232</v>
      </c>
      <c r="L167" s="171">
        <f t="shared" si="9"/>
        <v>2.3051232000000001E-2</v>
      </c>
      <c r="M167" s="171">
        <f t="shared" si="10"/>
        <v>180.95217120000001</v>
      </c>
      <c r="T167" t="s">
        <v>875</v>
      </c>
    </row>
    <row r="168" spans="1:20">
      <c r="A168" t="s">
        <v>858</v>
      </c>
      <c r="B168" t="s">
        <v>925</v>
      </c>
      <c r="C168" t="s">
        <v>801</v>
      </c>
      <c r="D168">
        <v>640.31200000000001</v>
      </c>
      <c r="E168">
        <v>0</v>
      </c>
      <c r="G168" t="s">
        <v>922</v>
      </c>
      <c r="J168" s="171">
        <v>36</v>
      </c>
      <c r="K168" s="171">
        <f t="shared" si="8"/>
        <v>23051.232</v>
      </c>
      <c r="L168" s="171">
        <f t="shared" si="9"/>
        <v>2.3051232000000001E-2</v>
      </c>
      <c r="M168" s="171">
        <f t="shared" si="10"/>
        <v>180.95217120000001</v>
      </c>
      <c r="T168" t="s">
        <v>875</v>
      </c>
    </row>
    <row r="169" spans="1:20">
      <c r="A169" t="s">
        <v>858</v>
      </c>
      <c r="B169" t="s">
        <v>917</v>
      </c>
      <c r="C169" t="s">
        <v>801</v>
      </c>
      <c r="D169">
        <v>583.63099999999997</v>
      </c>
      <c r="E169">
        <v>0</v>
      </c>
      <c r="G169" t="s">
        <v>892</v>
      </c>
      <c r="J169">
        <v>188.22</v>
      </c>
      <c r="K169" s="171">
        <f t="shared" si="8"/>
        <v>109851.02682</v>
      </c>
      <c r="L169" s="171">
        <f t="shared" si="9"/>
        <v>0.10985102682</v>
      </c>
      <c r="M169" s="171">
        <f t="shared" si="10"/>
        <v>862.330560537</v>
      </c>
      <c r="T169" t="s">
        <v>875</v>
      </c>
    </row>
    <row r="170" spans="1:20">
      <c r="A170" t="s">
        <v>858</v>
      </c>
      <c r="B170" t="s">
        <v>918</v>
      </c>
      <c r="C170" t="s">
        <v>801</v>
      </c>
      <c r="D170">
        <v>583.63099999999997</v>
      </c>
      <c r="E170">
        <v>0</v>
      </c>
      <c r="G170" t="s">
        <v>892</v>
      </c>
      <c r="J170" s="171">
        <v>188.22</v>
      </c>
      <c r="K170" s="171">
        <f t="shared" si="8"/>
        <v>109851.02682</v>
      </c>
      <c r="L170" s="171">
        <f t="shared" si="9"/>
        <v>0.10985102682</v>
      </c>
      <c r="M170" s="171">
        <f t="shared" si="10"/>
        <v>862.330560537</v>
      </c>
      <c r="T170" t="s">
        <v>875</v>
      </c>
    </row>
    <row r="171" spans="1:20">
      <c r="A171" t="s">
        <v>858</v>
      </c>
      <c r="B171" t="s">
        <v>919</v>
      </c>
      <c r="C171" t="s">
        <v>801</v>
      </c>
      <c r="D171">
        <v>583.63099999999997</v>
      </c>
      <c r="E171">
        <v>0</v>
      </c>
      <c r="G171" t="s">
        <v>892</v>
      </c>
      <c r="J171" s="171">
        <v>188.22</v>
      </c>
      <c r="K171" s="171">
        <f t="shared" si="8"/>
        <v>109851.02682</v>
      </c>
      <c r="L171" s="171">
        <f t="shared" si="9"/>
        <v>0.10985102682</v>
      </c>
      <c r="M171" s="171">
        <f t="shared" si="10"/>
        <v>862.330560537</v>
      </c>
      <c r="T171" t="s">
        <v>875</v>
      </c>
    </row>
    <row r="172" spans="1:20">
      <c r="A172" t="s">
        <v>858</v>
      </c>
      <c r="B172" t="s">
        <v>920</v>
      </c>
      <c r="C172" t="s">
        <v>801</v>
      </c>
      <c r="D172">
        <v>583.63099999999997</v>
      </c>
      <c r="E172">
        <v>0</v>
      </c>
      <c r="G172" t="s">
        <v>892</v>
      </c>
      <c r="J172" s="171">
        <v>188.22</v>
      </c>
      <c r="K172" s="171">
        <f t="shared" si="8"/>
        <v>109851.02682</v>
      </c>
      <c r="L172" s="171">
        <f t="shared" si="9"/>
        <v>0.10985102682</v>
      </c>
      <c r="M172" s="171">
        <f t="shared" si="10"/>
        <v>862.330560537</v>
      </c>
      <c r="T172" t="s">
        <v>875</v>
      </c>
    </row>
    <row r="173" spans="1:20">
      <c r="A173" t="s">
        <v>858</v>
      </c>
      <c r="B173" t="s">
        <v>873</v>
      </c>
      <c r="C173" t="s">
        <v>798</v>
      </c>
      <c r="D173">
        <v>400</v>
      </c>
      <c r="E173">
        <v>0</v>
      </c>
      <c r="G173" t="s">
        <v>874</v>
      </c>
      <c r="J173" s="171">
        <v>1539</v>
      </c>
      <c r="K173" s="171">
        <f t="shared" si="8"/>
        <v>615600</v>
      </c>
      <c r="L173" s="171">
        <f t="shared" si="9"/>
        <v>0.61560000000000004</v>
      </c>
      <c r="M173" s="171">
        <f t="shared" si="10"/>
        <v>4832.46</v>
      </c>
      <c r="T173" t="s">
        <v>875</v>
      </c>
    </row>
    <row r="174" spans="1:20">
      <c r="A174" t="s">
        <v>858</v>
      </c>
      <c r="B174" t="s">
        <v>876</v>
      </c>
      <c r="C174" t="s">
        <v>798</v>
      </c>
      <c r="D174">
        <v>400</v>
      </c>
      <c r="E174">
        <v>0</v>
      </c>
      <c r="G174" t="s">
        <v>874</v>
      </c>
      <c r="J174" s="171">
        <v>1539</v>
      </c>
      <c r="K174" s="171">
        <f t="shared" si="8"/>
        <v>615600</v>
      </c>
      <c r="L174" s="171">
        <f t="shared" si="9"/>
        <v>0.61560000000000004</v>
      </c>
      <c r="M174" s="171">
        <f t="shared" si="10"/>
        <v>4832.46</v>
      </c>
      <c r="T174" t="s">
        <v>875</v>
      </c>
    </row>
    <row r="175" spans="1:20">
      <c r="A175" t="s">
        <v>858</v>
      </c>
      <c r="B175" t="s">
        <v>884</v>
      </c>
      <c r="C175" t="s">
        <v>798</v>
      </c>
      <c r="D175">
        <v>400</v>
      </c>
      <c r="E175">
        <v>0</v>
      </c>
      <c r="G175" t="s">
        <v>874</v>
      </c>
      <c r="J175" s="171">
        <v>1539</v>
      </c>
      <c r="K175" s="171">
        <f t="shared" si="8"/>
        <v>615600</v>
      </c>
      <c r="L175" s="171">
        <f t="shared" si="9"/>
        <v>0.61560000000000004</v>
      </c>
      <c r="M175" s="171">
        <f t="shared" si="10"/>
        <v>4832.46</v>
      </c>
      <c r="T175" t="s">
        <v>875</v>
      </c>
    </row>
    <row r="176" spans="1:20">
      <c r="A176" t="s">
        <v>858</v>
      </c>
      <c r="B176" t="s">
        <v>885</v>
      </c>
      <c r="C176" t="s">
        <v>798</v>
      </c>
      <c r="D176">
        <v>400</v>
      </c>
      <c r="E176">
        <v>0</v>
      </c>
      <c r="G176" t="s">
        <v>874</v>
      </c>
      <c r="J176" s="171">
        <v>1539</v>
      </c>
      <c r="K176" s="171">
        <f t="shared" si="8"/>
        <v>615600</v>
      </c>
      <c r="L176" s="171">
        <f t="shared" si="9"/>
        <v>0.61560000000000004</v>
      </c>
      <c r="M176" s="171">
        <f t="shared" si="10"/>
        <v>4832.46</v>
      </c>
      <c r="T176" t="s">
        <v>875</v>
      </c>
    </row>
    <row r="177" spans="1:20">
      <c r="A177" t="s">
        <v>858</v>
      </c>
      <c r="B177" t="s">
        <v>886</v>
      </c>
      <c r="C177" t="s">
        <v>798</v>
      </c>
      <c r="D177">
        <v>400</v>
      </c>
      <c r="E177">
        <v>0</v>
      </c>
      <c r="G177" t="s">
        <v>887</v>
      </c>
      <c r="J177" s="171">
        <v>130.1</v>
      </c>
      <c r="K177" s="171">
        <f t="shared" si="8"/>
        <v>52040</v>
      </c>
      <c r="L177" s="171">
        <f t="shared" si="9"/>
        <v>5.2040000000000003E-2</v>
      </c>
      <c r="M177" s="171">
        <f t="shared" si="10"/>
        <v>408.51400000000001</v>
      </c>
      <c r="T177" t="s">
        <v>875</v>
      </c>
    </row>
    <row r="178" spans="1:20">
      <c r="A178" t="s">
        <v>858</v>
      </c>
      <c r="B178" t="s">
        <v>888</v>
      </c>
      <c r="C178" t="s">
        <v>798</v>
      </c>
      <c r="D178">
        <v>400</v>
      </c>
      <c r="E178">
        <v>0</v>
      </c>
      <c r="G178" t="s">
        <v>887</v>
      </c>
      <c r="J178" s="171">
        <v>130.1</v>
      </c>
      <c r="K178" s="171">
        <f t="shared" si="8"/>
        <v>52040</v>
      </c>
      <c r="L178" s="171">
        <f t="shared" si="9"/>
        <v>5.2040000000000003E-2</v>
      </c>
      <c r="M178" s="171">
        <f t="shared" si="10"/>
        <v>408.51400000000001</v>
      </c>
      <c r="T178" t="s">
        <v>875</v>
      </c>
    </row>
    <row r="179" spans="1:20">
      <c r="A179" t="s">
        <v>858</v>
      </c>
      <c r="B179" t="s">
        <v>889</v>
      </c>
      <c r="C179" t="s">
        <v>798</v>
      </c>
      <c r="D179">
        <v>400</v>
      </c>
      <c r="E179">
        <v>0</v>
      </c>
      <c r="G179" t="s">
        <v>887</v>
      </c>
      <c r="J179" s="171">
        <v>130.1</v>
      </c>
      <c r="K179" s="171">
        <f t="shared" si="8"/>
        <v>52040</v>
      </c>
      <c r="L179" s="171">
        <f t="shared" si="9"/>
        <v>5.2040000000000003E-2</v>
      </c>
      <c r="M179" s="171">
        <f t="shared" si="10"/>
        <v>408.51400000000001</v>
      </c>
      <c r="T179" t="s">
        <v>875</v>
      </c>
    </row>
    <row r="180" spans="1:20">
      <c r="A180" t="s">
        <v>858</v>
      </c>
      <c r="B180" t="s">
        <v>890</v>
      </c>
      <c r="C180" t="s">
        <v>798</v>
      </c>
      <c r="D180">
        <v>400</v>
      </c>
      <c r="E180">
        <v>0</v>
      </c>
      <c r="G180" t="s">
        <v>887</v>
      </c>
      <c r="J180" s="171">
        <v>130.1</v>
      </c>
      <c r="K180" s="171">
        <f t="shared" si="8"/>
        <v>52040</v>
      </c>
      <c r="L180" s="171">
        <f t="shared" si="9"/>
        <v>5.2040000000000003E-2</v>
      </c>
      <c r="M180" s="171">
        <f t="shared" si="10"/>
        <v>408.51400000000001</v>
      </c>
      <c r="T180" t="s">
        <v>875</v>
      </c>
    </row>
    <row r="181" spans="1:20">
      <c r="A181" t="s">
        <v>858</v>
      </c>
      <c r="B181" t="s">
        <v>891</v>
      </c>
      <c r="C181" t="s">
        <v>798</v>
      </c>
      <c r="D181">
        <v>400</v>
      </c>
      <c r="E181">
        <v>0</v>
      </c>
      <c r="G181" t="s">
        <v>892</v>
      </c>
      <c r="J181" s="171">
        <v>188.22</v>
      </c>
      <c r="K181" s="171">
        <f t="shared" si="8"/>
        <v>75288</v>
      </c>
      <c r="L181" s="171">
        <f t="shared" si="9"/>
        <v>7.5287999999999994E-2</v>
      </c>
      <c r="M181" s="171">
        <f t="shared" si="10"/>
        <v>591.0107999999999</v>
      </c>
      <c r="T181" t="s">
        <v>875</v>
      </c>
    </row>
    <row r="182" spans="1:20">
      <c r="A182" t="s">
        <v>858</v>
      </c>
      <c r="B182" t="s">
        <v>893</v>
      </c>
      <c r="C182" t="s">
        <v>798</v>
      </c>
      <c r="D182">
        <v>400</v>
      </c>
      <c r="E182">
        <v>0</v>
      </c>
      <c r="G182" t="s">
        <v>892</v>
      </c>
      <c r="J182" s="171">
        <v>188.22</v>
      </c>
      <c r="K182" s="171">
        <f t="shared" si="8"/>
        <v>75288</v>
      </c>
      <c r="L182" s="171">
        <f t="shared" si="9"/>
        <v>7.5287999999999994E-2</v>
      </c>
      <c r="M182" s="171">
        <f t="shared" si="10"/>
        <v>591.0107999999999</v>
      </c>
      <c r="T182" t="s">
        <v>875</v>
      </c>
    </row>
    <row r="183" spans="1:20">
      <c r="A183" t="s">
        <v>858</v>
      </c>
      <c r="B183" t="s">
        <v>894</v>
      </c>
      <c r="C183" t="s">
        <v>798</v>
      </c>
      <c r="D183">
        <v>400</v>
      </c>
      <c r="E183">
        <v>0</v>
      </c>
      <c r="G183" t="s">
        <v>892</v>
      </c>
      <c r="J183" s="171">
        <v>188.22</v>
      </c>
      <c r="K183" s="171">
        <f t="shared" si="8"/>
        <v>75288</v>
      </c>
      <c r="L183" s="171">
        <f t="shared" si="9"/>
        <v>7.5287999999999994E-2</v>
      </c>
      <c r="M183" s="171">
        <f t="shared" si="10"/>
        <v>591.0107999999999</v>
      </c>
      <c r="T183" t="s">
        <v>875</v>
      </c>
    </row>
    <row r="184" spans="1:20">
      <c r="A184" t="s">
        <v>858</v>
      </c>
      <c r="B184" t="s">
        <v>895</v>
      </c>
      <c r="C184" t="s">
        <v>798</v>
      </c>
      <c r="D184">
        <v>400</v>
      </c>
      <c r="E184">
        <v>0</v>
      </c>
      <c r="G184" t="s">
        <v>892</v>
      </c>
      <c r="J184" s="171">
        <v>188.22</v>
      </c>
      <c r="K184" s="171">
        <f t="shared" si="8"/>
        <v>75288</v>
      </c>
      <c r="L184" s="171">
        <f t="shared" si="9"/>
        <v>7.5287999999999994E-2</v>
      </c>
      <c r="M184" s="171">
        <f t="shared" si="10"/>
        <v>591.0107999999999</v>
      </c>
      <c r="T184" t="s">
        <v>875</v>
      </c>
    </row>
    <row r="185" spans="1:20">
      <c r="A185" t="s">
        <v>858</v>
      </c>
      <c r="B185" t="s">
        <v>877</v>
      </c>
      <c r="C185" t="s">
        <v>798</v>
      </c>
      <c r="D185">
        <v>400</v>
      </c>
      <c r="E185">
        <v>0</v>
      </c>
      <c r="G185" t="s">
        <v>878</v>
      </c>
      <c r="J185">
        <v>260.72000000000003</v>
      </c>
      <c r="K185" s="171">
        <f t="shared" si="8"/>
        <v>104288.00000000001</v>
      </c>
      <c r="L185" s="171">
        <f t="shared" si="9"/>
        <v>0.10428800000000002</v>
      </c>
      <c r="M185" s="171">
        <f t="shared" si="10"/>
        <v>818.66080000000011</v>
      </c>
      <c r="T185" t="s">
        <v>875</v>
      </c>
    </row>
    <row r="186" spans="1:20">
      <c r="A186" t="s">
        <v>858</v>
      </c>
      <c r="B186" t="s">
        <v>879</v>
      </c>
      <c r="C186" t="s">
        <v>798</v>
      </c>
      <c r="D186">
        <v>400</v>
      </c>
      <c r="E186">
        <v>0</v>
      </c>
      <c r="G186" t="s">
        <v>878</v>
      </c>
      <c r="J186" s="171">
        <v>260.72000000000003</v>
      </c>
      <c r="K186" s="171">
        <f t="shared" si="8"/>
        <v>104288.00000000001</v>
      </c>
      <c r="L186" s="171">
        <f t="shared" si="9"/>
        <v>0.10428800000000002</v>
      </c>
      <c r="M186" s="171">
        <f t="shared" si="10"/>
        <v>818.66080000000011</v>
      </c>
      <c r="T186" t="s">
        <v>875</v>
      </c>
    </row>
    <row r="187" spans="1:20">
      <c r="A187" t="s">
        <v>858</v>
      </c>
      <c r="B187" t="s">
        <v>880</v>
      </c>
      <c r="C187" t="s">
        <v>798</v>
      </c>
      <c r="D187">
        <v>400</v>
      </c>
      <c r="E187">
        <v>0</v>
      </c>
      <c r="G187" t="s">
        <v>878</v>
      </c>
      <c r="J187" s="171">
        <v>260.72000000000003</v>
      </c>
      <c r="K187" s="171">
        <f t="shared" si="8"/>
        <v>104288.00000000001</v>
      </c>
      <c r="L187" s="171">
        <f t="shared" si="9"/>
        <v>0.10428800000000002</v>
      </c>
      <c r="M187" s="171">
        <f t="shared" si="10"/>
        <v>818.66080000000011</v>
      </c>
      <c r="T187" t="s">
        <v>875</v>
      </c>
    </row>
    <row r="188" spans="1:20">
      <c r="A188" t="s">
        <v>858</v>
      </c>
      <c r="B188" t="s">
        <v>881</v>
      </c>
      <c r="C188" t="s">
        <v>798</v>
      </c>
      <c r="D188">
        <v>400</v>
      </c>
      <c r="E188">
        <v>0</v>
      </c>
      <c r="G188" t="s">
        <v>878</v>
      </c>
      <c r="J188" s="171">
        <v>260.72000000000003</v>
      </c>
      <c r="K188" s="171">
        <f t="shared" si="8"/>
        <v>104288.00000000001</v>
      </c>
      <c r="L188" s="171">
        <f t="shared" si="9"/>
        <v>0.10428800000000002</v>
      </c>
      <c r="M188" s="171">
        <f t="shared" si="10"/>
        <v>818.66080000000011</v>
      </c>
      <c r="T188" t="s">
        <v>875</v>
      </c>
    </row>
    <row r="189" spans="1:20">
      <c r="A189" t="s">
        <v>858</v>
      </c>
      <c r="B189" t="s">
        <v>882</v>
      </c>
      <c r="C189" t="s">
        <v>798</v>
      </c>
      <c r="D189">
        <v>400</v>
      </c>
      <c r="E189">
        <v>0</v>
      </c>
      <c r="G189" t="s">
        <v>878</v>
      </c>
      <c r="J189" s="171">
        <v>260.72000000000003</v>
      </c>
      <c r="K189" s="171">
        <f t="shared" si="8"/>
        <v>104288.00000000001</v>
      </c>
      <c r="L189" s="171">
        <f t="shared" si="9"/>
        <v>0.10428800000000002</v>
      </c>
      <c r="M189" s="171">
        <f t="shared" si="10"/>
        <v>818.66080000000011</v>
      </c>
      <c r="T189" t="s">
        <v>875</v>
      </c>
    </row>
    <row r="190" spans="1:20">
      <c r="A190" t="s">
        <v>858</v>
      </c>
      <c r="B190" t="s">
        <v>883</v>
      </c>
      <c r="C190" t="s">
        <v>798</v>
      </c>
      <c r="D190">
        <v>400</v>
      </c>
      <c r="E190">
        <v>0</v>
      </c>
      <c r="G190" t="s">
        <v>878</v>
      </c>
      <c r="J190" s="171">
        <v>260.72000000000003</v>
      </c>
      <c r="K190" s="171">
        <f t="shared" si="8"/>
        <v>104288.00000000001</v>
      </c>
      <c r="L190" s="171">
        <f t="shared" si="9"/>
        <v>0.10428800000000002</v>
      </c>
      <c r="M190" s="171">
        <f t="shared" si="10"/>
        <v>818.66080000000011</v>
      </c>
      <c r="T190" t="s">
        <v>875</v>
      </c>
    </row>
    <row r="191" spans="1:20">
      <c r="A191" t="s">
        <v>847</v>
      </c>
      <c r="B191" t="s">
        <v>909</v>
      </c>
      <c r="C191" t="s">
        <v>800</v>
      </c>
      <c r="D191">
        <v>1000</v>
      </c>
      <c r="E191">
        <v>0</v>
      </c>
      <c r="G191" t="s">
        <v>898</v>
      </c>
      <c r="J191" s="171">
        <v>152.44</v>
      </c>
      <c r="K191" s="171">
        <f t="shared" si="8"/>
        <v>152440</v>
      </c>
      <c r="L191" s="171">
        <f t="shared" si="9"/>
        <v>0.15243999999999999</v>
      </c>
      <c r="M191" s="171">
        <f t="shared" si="10"/>
        <v>1196.654</v>
      </c>
      <c r="T191" t="s">
        <v>875</v>
      </c>
    </row>
    <row r="192" spans="1:20">
      <c r="A192" t="s">
        <v>847</v>
      </c>
      <c r="B192" t="s">
        <v>910</v>
      </c>
      <c r="C192" t="s">
        <v>800</v>
      </c>
      <c r="D192">
        <v>1000</v>
      </c>
      <c r="E192">
        <v>0</v>
      </c>
      <c r="G192" t="s">
        <v>898</v>
      </c>
      <c r="J192" s="171">
        <v>152.44</v>
      </c>
      <c r="K192" s="171">
        <f t="shared" si="8"/>
        <v>152440</v>
      </c>
      <c r="L192" s="171">
        <f t="shared" si="9"/>
        <v>0.15243999999999999</v>
      </c>
      <c r="M192" s="171">
        <f t="shared" si="10"/>
        <v>1196.654</v>
      </c>
      <c r="T192" t="s">
        <v>875</v>
      </c>
    </row>
    <row r="193" spans="1:20">
      <c r="A193" t="s">
        <v>847</v>
      </c>
      <c r="B193" t="s">
        <v>911</v>
      </c>
      <c r="C193" t="s">
        <v>800</v>
      </c>
      <c r="D193">
        <v>1000</v>
      </c>
      <c r="E193">
        <v>0</v>
      </c>
      <c r="G193" t="s">
        <v>912</v>
      </c>
      <c r="J193" s="171">
        <v>149.28</v>
      </c>
      <c r="K193" s="171">
        <f t="shared" ref="K193:K228" si="11">J193*D193</f>
        <v>149280</v>
      </c>
      <c r="L193" s="171">
        <f t="shared" ref="L193:L228" si="12">K193/1000000</f>
        <v>0.14928</v>
      </c>
      <c r="M193" s="171">
        <f t="shared" ref="M193:M228" si="13">L193*7850</f>
        <v>1171.848</v>
      </c>
      <c r="T193" t="s">
        <v>875</v>
      </c>
    </row>
    <row r="194" spans="1:20">
      <c r="A194" t="s">
        <v>847</v>
      </c>
      <c r="B194" t="s">
        <v>913</v>
      </c>
      <c r="C194" t="s">
        <v>800</v>
      </c>
      <c r="D194">
        <v>1000</v>
      </c>
      <c r="E194">
        <v>0</v>
      </c>
      <c r="G194" t="s">
        <v>912</v>
      </c>
      <c r="J194" s="171">
        <v>149.28</v>
      </c>
      <c r="K194" s="171">
        <f t="shared" si="11"/>
        <v>149280</v>
      </c>
      <c r="L194" s="171">
        <f t="shared" si="12"/>
        <v>0.14928</v>
      </c>
      <c r="M194" s="171">
        <f t="shared" si="13"/>
        <v>1171.848</v>
      </c>
      <c r="T194" t="s">
        <v>875</v>
      </c>
    </row>
    <row r="195" spans="1:20">
      <c r="A195" t="s">
        <v>847</v>
      </c>
      <c r="B195" t="s">
        <v>900</v>
      </c>
      <c r="C195" t="s">
        <v>800</v>
      </c>
      <c r="D195">
        <v>1000</v>
      </c>
      <c r="E195">
        <v>0</v>
      </c>
      <c r="G195" t="s">
        <v>901</v>
      </c>
      <c r="J195" s="171">
        <v>307.48</v>
      </c>
      <c r="K195" s="171">
        <f t="shared" si="11"/>
        <v>307480</v>
      </c>
      <c r="L195" s="171">
        <f t="shared" si="12"/>
        <v>0.30747999999999998</v>
      </c>
      <c r="M195" s="171">
        <f t="shared" si="13"/>
        <v>2413.7179999999998</v>
      </c>
      <c r="T195" t="s">
        <v>875</v>
      </c>
    </row>
    <row r="196" spans="1:20">
      <c r="A196" t="s">
        <v>847</v>
      </c>
      <c r="B196" t="s">
        <v>902</v>
      </c>
      <c r="C196" t="s">
        <v>800</v>
      </c>
      <c r="D196">
        <v>900</v>
      </c>
      <c r="E196">
        <v>0</v>
      </c>
      <c r="G196" t="s">
        <v>901</v>
      </c>
      <c r="J196" s="171">
        <v>307.48</v>
      </c>
      <c r="K196" s="171">
        <f t="shared" si="11"/>
        <v>276732</v>
      </c>
      <c r="L196" s="171">
        <f t="shared" si="12"/>
        <v>0.27673199999999998</v>
      </c>
      <c r="M196" s="171">
        <f t="shared" si="13"/>
        <v>2172.3462</v>
      </c>
      <c r="T196" t="s">
        <v>875</v>
      </c>
    </row>
    <row r="197" spans="1:20">
      <c r="A197" t="s">
        <v>847</v>
      </c>
      <c r="B197" t="s">
        <v>903</v>
      </c>
      <c r="C197" t="s">
        <v>800</v>
      </c>
      <c r="D197">
        <v>900</v>
      </c>
      <c r="E197">
        <v>0</v>
      </c>
      <c r="G197" t="s">
        <v>901</v>
      </c>
      <c r="J197">
        <v>307.48</v>
      </c>
      <c r="K197" s="171">
        <f t="shared" si="11"/>
        <v>276732</v>
      </c>
      <c r="L197" s="171">
        <f t="shared" si="12"/>
        <v>0.27673199999999998</v>
      </c>
      <c r="M197" s="171">
        <f t="shared" si="13"/>
        <v>2172.3462</v>
      </c>
      <c r="T197" t="s">
        <v>875</v>
      </c>
    </row>
    <row r="198" spans="1:20">
      <c r="A198" t="s">
        <v>847</v>
      </c>
      <c r="B198" t="s">
        <v>904</v>
      </c>
      <c r="C198" t="s">
        <v>800</v>
      </c>
      <c r="D198">
        <v>1000</v>
      </c>
      <c r="E198">
        <v>0</v>
      </c>
      <c r="G198" t="s">
        <v>901</v>
      </c>
      <c r="J198" s="171">
        <v>307.48</v>
      </c>
      <c r="K198" s="171">
        <f t="shared" si="11"/>
        <v>307480</v>
      </c>
      <c r="L198" s="171">
        <f t="shared" si="12"/>
        <v>0.30747999999999998</v>
      </c>
      <c r="M198" s="171">
        <f t="shared" si="13"/>
        <v>2413.7179999999998</v>
      </c>
      <c r="T198" t="s">
        <v>875</v>
      </c>
    </row>
    <row r="199" spans="1:20">
      <c r="A199" t="s">
        <v>847</v>
      </c>
      <c r="B199" t="s">
        <v>905</v>
      </c>
      <c r="C199" t="s">
        <v>800</v>
      </c>
      <c r="D199">
        <v>1000</v>
      </c>
      <c r="E199">
        <v>0</v>
      </c>
      <c r="G199" t="s">
        <v>901</v>
      </c>
      <c r="J199" s="171">
        <v>307.48</v>
      </c>
      <c r="K199" s="171">
        <f t="shared" si="11"/>
        <v>307480</v>
      </c>
      <c r="L199" s="171">
        <f t="shared" si="12"/>
        <v>0.30747999999999998</v>
      </c>
      <c r="M199" s="171">
        <f t="shared" si="13"/>
        <v>2413.7179999999998</v>
      </c>
      <c r="T199" t="s">
        <v>875</v>
      </c>
    </row>
    <row r="200" spans="1:20">
      <c r="A200" t="s">
        <v>847</v>
      </c>
      <c r="B200" t="s">
        <v>906</v>
      </c>
      <c r="C200" t="s">
        <v>800</v>
      </c>
      <c r="D200">
        <v>900</v>
      </c>
      <c r="E200">
        <v>0</v>
      </c>
      <c r="G200" t="s">
        <v>901</v>
      </c>
      <c r="J200" s="171">
        <v>307.48</v>
      </c>
      <c r="K200" s="171">
        <f t="shared" si="11"/>
        <v>276732</v>
      </c>
      <c r="L200" s="171">
        <f t="shared" si="12"/>
        <v>0.27673199999999998</v>
      </c>
      <c r="M200" s="171">
        <f t="shared" si="13"/>
        <v>2172.3462</v>
      </c>
      <c r="T200" t="s">
        <v>875</v>
      </c>
    </row>
    <row r="201" spans="1:20">
      <c r="A201" t="s">
        <v>847</v>
      </c>
      <c r="B201" t="s">
        <v>907</v>
      </c>
      <c r="C201" t="s">
        <v>800</v>
      </c>
      <c r="D201">
        <v>900</v>
      </c>
      <c r="E201">
        <v>0</v>
      </c>
      <c r="G201" t="s">
        <v>901</v>
      </c>
      <c r="J201" s="171">
        <v>307.48</v>
      </c>
      <c r="K201" s="171">
        <f t="shared" si="11"/>
        <v>276732</v>
      </c>
      <c r="L201" s="171">
        <f t="shared" si="12"/>
        <v>0.27673199999999998</v>
      </c>
      <c r="M201" s="171">
        <f t="shared" si="13"/>
        <v>2172.3462</v>
      </c>
      <c r="T201" t="s">
        <v>875</v>
      </c>
    </row>
    <row r="202" spans="1:20">
      <c r="A202" t="s">
        <v>847</v>
      </c>
      <c r="B202" t="s">
        <v>908</v>
      </c>
      <c r="C202" t="s">
        <v>800</v>
      </c>
      <c r="D202">
        <v>1000</v>
      </c>
      <c r="E202">
        <v>0</v>
      </c>
      <c r="G202" t="s">
        <v>901</v>
      </c>
      <c r="J202" s="171">
        <v>307.48</v>
      </c>
      <c r="K202" s="171">
        <f t="shared" si="11"/>
        <v>307480</v>
      </c>
      <c r="L202" s="171">
        <f t="shared" si="12"/>
        <v>0.30747999999999998</v>
      </c>
      <c r="M202" s="171">
        <f t="shared" si="13"/>
        <v>2413.7179999999998</v>
      </c>
      <c r="T202" t="s">
        <v>875</v>
      </c>
    </row>
    <row r="203" spans="1:20">
      <c r="A203" t="s">
        <v>847</v>
      </c>
      <c r="B203" t="s">
        <v>921</v>
      </c>
      <c r="C203" t="s">
        <v>801</v>
      </c>
      <c r="D203">
        <v>640.31200000000001</v>
      </c>
      <c r="E203">
        <v>0</v>
      </c>
      <c r="G203" t="s">
        <v>922</v>
      </c>
      <c r="J203" s="171">
        <v>36</v>
      </c>
      <c r="K203" s="171">
        <f t="shared" si="11"/>
        <v>23051.232</v>
      </c>
      <c r="L203" s="171">
        <f t="shared" si="12"/>
        <v>2.3051232000000001E-2</v>
      </c>
      <c r="M203" s="171">
        <f t="shared" si="13"/>
        <v>180.95217120000001</v>
      </c>
      <c r="T203" t="s">
        <v>875</v>
      </c>
    </row>
    <row r="204" spans="1:20">
      <c r="A204" t="s">
        <v>847</v>
      </c>
      <c r="B204" t="s">
        <v>923</v>
      </c>
      <c r="C204" t="s">
        <v>801</v>
      </c>
      <c r="D204">
        <v>640.31200000000001</v>
      </c>
      <c r="E204">
        <v>0</v>
      </c>
      <c r="G204" t="s">
        <v>922</v>
      </c>
      <c r="J204" s="171">
        <v>36</v>
      </c>
      <c r="K204" s="171">
        <f t="shared" si="11"/>
        <v>23051.232</v>
      </c>
      <c r="L204" s="171">
        <f t="shared" si="12"/>
        <v>2.3051232000000001E-2</v>
      </c>
      <c r="M204" s="171">
        <f t="shared" si="13"/>
        <v>180.95217120000001</v>
      </c>
      <c r="T204" t="s">
        <v>875</v>
      </c>
    </row>
    <row r="205" spans="1:20">
      <c r="A205" t="s">
        <v>847</v>
      </c>
      <c r="B205" t="s">
        <v>924</v>
      </c>
      <c r="C205" t="s">
        <v>801</v>
      </c>
      <c r="D205">
        <v>640.31200000000001</v>
      </c>
      <c r="E205">
        <v>0</v>
      </c>
      <c r="G205" t="s">
        <v>922</v>
      </c>
      <c r="J205" s="171">
        <v>36</v>
      </c>
      <c r="K205" s="171">
        <f t="shared" si="11"/>
        <v>23051.232</v>
      </c>
      <c r="L205" s="171">
        <f t="shared" si="12"/>
        <v>2.3051232000000001E-2</v>
      </c>
      <c r="M205" s="171">
        <f t="shared" si="13"/>
        <v>180.95217120000001</v>
      </c>
      <c r="T205" t="s">
        <v>875</v>
      </c>
    </row>
    <row r="206" spans="1:20">
      <c r="A206" t="s">
        <v>847</v>
      </c>
      <c r="B206" t="s">
        <v>925</v>
      </c>
      <c r="C206" t="s">
        <v>801</v>
      </c>
      <c r="D206">
        <v>640.31200000000001</v>
      </c>
      <c r="E206">
        <v>0</v>
      </c>
      <c r="G206" t="s">
        <v>922</v>
      </c>
      <c r="J206" s="171">
        <v>36</v>
      </c>
      <c r="K206" s="171">
        <f t="shared" si="11"/>
        <v>23051.232</v>
      </c>
      <c r="L206" s="171">
        <f t="shared" si="12"/>
        <v>2.3051232000000001E-2</v>
      </c>
      <c r="M206" s="171">
        <f t="shared" si="13"/>
        <v>180.95217120000001</v>
      </c>
      <c r="T206" t="s">
        <v>875</v>
      </c>
    </row>
    <row r="207" spans="1:20">
      <c r="A207" t="s">
        <v>847</v>
      </c>
      <c r="B207" t="s">
        <v>917</v>
      </c>
      <c r="C207" t="s">
        <v>801</v>
      </c>
      <c r="D207">
        <v>583.63099999999997</v>
      </c>
      <c r="E207">
        <v>0</v>
      </c>
      <c r="G207" t="s">
        <v>892</v>
      </c>
      <c r="J207" s="171">
        <v>188.22</v>
      </c>
      <c r="K207" s="171">
        <f t="shared" si="11"/>
        <v>109851.02682</v>
      </c>
      <c r="L207" s="171">
        <f t="shared" si="12"/>
        <v>0.10985102682</v>
      </c>
      <c r="M207" s="171">
        <f t="shared" si="13"/>
        <v>862.330560537</v>
      </c>
      <c r="T207" t="s">
        <v>875</v>
      </c>
    </row>
    <row r="208" spans="1:20">
      <c r="A208" t="s">
        <v>847</v>
      </c>
      <c r="B208" t="s">
        <v>918</v>
      </c>
      <c r="C208" t="s">
        <v>801</v>
      </c>
      <c r="D208">
        <v>583.63099999999997</v>
      </c>
      <c r="E208">
        <v>0</v>
      </c>
      <c r="G208" t="s">
        <v>892</v>
      </c>
      <c r="J208" s="171">
        <v>188.22</v>
      </c>
      <c r="K208" s="171">
        <f t="shared" si="11"/>
        <v>109851.02682</v>
      </c>
      <c r="L208" s="171">
        <f t="shared" si="12"/>
        <v>0.10985102682</v>
      </c>
      <c r="M208" s="171">
        <f t="shared" si="13"/>
        <v>862.330560537</v>
      </c>
      <c r="T208" t="s">
        <v>875</v>
      </c>
    </row>
    <row r="209" spans="1:20">
      <c r="A209" t="s">
        <v>847</v>
      </c>
      <c r="B209" t="s">
        <v>919</v>
      </c>
      <c r="C209" t="s">
        <v>801</v>
      </c>
      <c r="D209">
        <v>583.63099999999997</v>
      </c>
      <c r="E209">
        <v>0</v>
      </c>
      <c r="G209" t="s">
        <v>892</v>
      </c>
      <c r="J209" s="171">
        <v>188.22</v>
      </c>
      <c r="K209" s="171">
        <f t="shared" si="11"/>
        <v>109851.02682</v>
      </c>
      <c r="L209" s="171">
        <f t="shared" si="12"/>
        <v>0.10985102682</v>
      </c>
      <c r="M209" s="171">
        <f t="shared" si="13"/>
        <v>862.330560537</v>
      </c>
      <c r="T209" t="s">
        <v>875</v>
      </c>
    </row>
    <row r="210" spans="1:20">
      <c r="A210" t="s">
        <v>847</v>
      </c>
      <c r="B210" t="s">
        <v>920</v>
      </c>
      <c r="C210" t="s">
        <v>801</v>
      </c>
      <c r="D210">
        <v>583.63099999999997</v>
      </c>
      <c r="E210">
        <v>0</v>
      </c>
      <c r="G210" t="s">
        <v>892</v>
      </c>
      <c r="J210" s="171">
        <v>188.22</v>
      </c>
      <c r="K210" s="171">
        <f t="shared" si="11"/>
        <v>109851.02682</v>
      </c>
      <c r="L210" s="171">
        <f t="shared" si="12"/>
        <v>0.10985102682</v>
      </c>
      <c r="M210" s="171">
        <f t="shared" si="13"/>
        <v>862.330560537</v>
      </c>
      <c r="T210" t="s">
        <v>875</v>
      </c>
    </row>
    <row r="211" spans="1:20">
      <c r="A211" t="s">
        <v>847</v>
      </c>
      <c r="B211" t="s">
        <v>873</v>
      </c>
      <c r="C211" t="s">
        <v>798</v>
      </c>
      <c r="D211">
        <v>400</v>
      </c>
      <c r="E211">
        <v>0</v>
      </c>
      <c r="G211" t="s">
        <v>874</v>
      </c>
      <c r="J211" s="171">
        <v>1539</v>
      </c>
      <c r="K211" s="171">
        <f t="shared" si="11"/>
        <v>615600</v>
      </c>
      <c r="L211" s="171">
        <f t="shared" si="12"/>
        <v>0.61560000000000004</v>
      </c>
      <c r="M211" s="171">
        <f t="shared" si="13"/>
        <v>4832.46</v>
      </c>
      <c r="T211" t="s">
        <v>875</v>
      </c>
    </row>
    <row r="212" spans="1:20">
      <c r="A212" t="s">
        <v>847</v>
      </c>
      <c r="B212" t="s">
        <v>876</v>
      </c>
      <c r="C212" t="s">
        <v>798</v>
      </c>
      <c r="D212">
        <v>400</v>
      </c>
      <c r="E212">
        <v>0</v>
      </c>
      <c r="G212" t="s">
        <v>874</v>
      </c>
      <c r="J212" s="171">
        <v>1539</v>
      </c>
      <c r="K212" s="171">
        <f t="shared" si="11"/>
        <v>615600</v>
      </c>
      <c r="L212" s="171">
        <f t="shared" si="12"/>
        <v>0.61560000000000004</v>
      </c>
      <c r="M212" s="171">
        <f t="shared" si="13"/>
        <v>4832.46</v>
      </c>
      <c r="T212" t="s">
        <v>875</v>
      </c>
    </row>
    <row r="213" spans="1:20">
      <c r="A213" t="s">
        <v>847</v>
      </c>
      <c r="B213" t="s">
        <v>884</v>
      </c>
      <c r="C213" t="s">
        <v>798</v>
      </c>
      <c r="D213">
        <v>400</v>
      </c>
      <c r="E213">
        <v>0</v>
      </c>
      <c r="G213" t="s">
        <v>874</v>
      </c>
      <c r="J213" s="171">
        <v>1539</v>
      </c>
      <c r="K213" s="171">
        <f t="shared" si="11"/>
        <v>615600</v>
      </c>
      <c r="L213" s="171">
        <f t="shared" si="12"/>
        <v>0.61560000000000004</v>
      </c>
      <c r="M213" s="171">
        <f t="shared" si="13"/>
        <v>4832.46</v>
      </c>
      <c r="T213" t="s">
        <v>875</v>
      </c>
    </row>
    <row r="214" spans="1:20">
      <c r="A214" t="s">
        <v>847</v>
      </c>
      <c r="B214" t="s">
        <v>885</v>
      </c>
      <c r="C214" t="s">
        <v>798</v>
      </c>
      <c r="D214">
        <v>400</v>
      </c>
      <c r="E214">
        <v>0</v>
      </c>
      <c r="G214" t="s">
        <v>874</v>
      </c>
      <c r="J214" s="171">
        <v>1539</v>
      </c>
      <c r="K214" s="171">
        <f t="shared" si="11"/>
        <v>615600</v>
      </c>
      <c r="L214" s="171">
        <f t="shared" si="12"/>
        <v>0.61560000000000004</v>
      </c>
      <c r="M214" s="171">
        <f t="shared" si="13"/>
        <v>4832.46</v>
      </c>
      <c r="T214" t="s">
        <v>875</v>
      </c>
    </row>
    <row r="215" spans="1:20">
      <c r="A215" t="s">
        <v>847</v>
      </c>
      <c r="B215" t="s">
        <v>886</v>
      </c>
      <c r="C215" t="s">
        <v>798</v>
      </c>
      <c r="D215">
        <v>400</v>
      </c>
      <c r="E215">
        <v>0</v>
      </c>
      <c r="G215" t="s">
        <v>887</v>
      </c>
      <c r="J215" s="171">
        <v>130.1</v>
      </c>
      <c r="K215" s="171">
        <f t="shared" si="11"/>
        <v>52040</v>
      </c>
      <c r="L215" s="171">
        <f t="shared" si="12"/>
        <v>5.2040000000000003E-2</v>
      </c>
      <c r="M215" s="171">
        <f t="shared" si="13"/>
        <v>408.51400000000001</v>
      </c>
      <c r="T215" t="s">
        <v>875</v>
      </c>
    </row>
    <row r="216" spans="1:20">
      <c r="A216" t="s">
        <v>847</v>
      </c>
      <c r="B216" t="s">
        <v>888</v>
      </c>
      <c r="C216" t="s">
        <v>798</v>
      </c>
      <c r="D216">
        <v>400</v>
      </c>
      <c r="E216">
        <v>0</v>
      </c>
      <c r="G216" t="s">
        <v>887</v>
      </c>
      <c r="J216" s="171">
        <v>130.1</v>
      </c>
      <c r="K216" s="171">
        <f t="shared" si="11"/>
        <v>52040</v>
      </c>
      <c r="L216" s="171">
        <f t="shared" si="12"/>
        <v>5.2040000000000003E-2</v>
      </c>
      <c r="M216" s="171">
        <f t="shared" si="13"/>
        <v>408.51400000000001</v>
      </c>
      <c r="T216" t="s">
        <v>875</v>
      </c>
    </row>
    <row r="217" spans="1:20">
      <c r="A217" t="s">
        <v>847</v>
      </c>
      <c r="B217" t="s">
        <v>889</v>
      </c>
      <c r="C217" t="s">
        <v>798</v>
      </c>
      <c r="D217">
        <v>400</v>
      </c>
      <c r="E217">
        <v>0</v>
      </c>
      <c r="G217" t="s">
        <v>887</v>
      </c>
      <c r="J217" s="171">
        <v>130.1</v>
      </c>
      <c r="K217" s="171">
        <f t="shared" si="11"/>
        <v>52040</v>
      </c>
      <c r="L217" s="171">
        <f t="shared" si="12"/>
        <v>5.2040000000000003E-2</v>
      </c>
      <c r="M217" s="171">
        <f t="shared" si="13"/>
        <v>408.51400000000001</v>
      </c>
      <c r="T217" t="s">
        <v>875</v>
      </c>
    </row>
    <row r="218" spans="1:20">
      <c r="A218" t="s">
        <v>847</v>
      </c>
      <c r="B218" t="s">
        <v>890</v>
      </c>
      <c r="C218" t="s">
        <v>798</v>
      </c>
      <c r="D218">
        <v>400</v>
      </c>
      <c r="E218">
        <v>0</v>
      </c>
      <c r="G218" t="s">
        <v>887</v>
      </c>
      <c r="J218" s="171">
        <v>130.1</v>
      </c>
      <c r="K218" s="171">
        <f t="shared" si="11"/>
        <v>52040</v>
      </c>
      <c r="L218" s="171">
        <f t="shared" si="12"/>
        <v>5.2040000000000003E-2</v>
      </c>
      <c r="M218" s="171">
        <f t="shared" si="13"/>
        <v>408.51400000000001</v>
      </c>
      <c r="T218" t="s">
        <v>875</v>
      </c>
    </row>
    <row r="219" spans="1:20">
      <c r="A219" t="s">
        <v>847</v>
      </c>
      <c r="B219" t="s">
        <v>891</v>
      </c>
      <c r="C219" t="s">
        <v>798</v>
      </c>
      <c r="D219">
        <v>400</v>
      </c>
      <c r="E219">
        <v>0</v>
      </c>
      <c r="G219" t="s">
        <v>892</v>
      </c>
      <c r="J219" s="171">
        <v>188.22</v>
      </c>
      <c r="K219" s="171">
        <f t="shared" si="11"/>
        <v>75288</v>
      </c>
      <c r="L219" s="171">
        <f t="shared" si="12"/>
        <v>7.5287999999999994E-2</v>
      </c>
      <c r="M219" s="171">
        <f t="shared" si="13"/>
        <v>591.0107999999999</v>
      </c>
      <c r="T219" t="s">
        <v>875</v>
      </c>
    </row>
    <row r="220" spans="1:20">
      <c r="A220" t="s">
        <v>847</v>
      </c>
      <c r="B220" t="s">
        <v>893</v>
      </c>
      <c r="C220" t="s">
        <v>798</v>
      </c>
      <c r="D220">
        <v>400</v>
      </c>
      <c r="E220">
        <v>0</v>
      </c>
      <c r="G220" t="s">
        <v>892</v>
      </c>
      <c r="J220" s="171">
        <v>188.22</v>
      </c>
      <c r="K220" s="171">
        <f t="shared" si="11"/>
        <v>75288</v>
      </c>
      <c r="L220" s="171">
        <f t="shared" si="12"/>
        <v>7.5287999999999994E-2</v>
      </c>
      <c r="M220" s="171">
        <f t="shared" si="13"/>
        <v>591.0107999999999</v>
      </c>
      <c r="T220" t="s">
        <v>875</v>
      </c>
    </row>
    <row r="221" spans="1:20">
      <c r="A221" t="s">
        <v>847</v>
      </c>
      <c r="B221" t="s">
        <v>894</v>
      </c>
      <c r="C221" t="s">
        <v>798</v>
      </c>
      <c r="D221">
        <v>400</v>
      </c>
      <c r="E221">
        <v>0</v>
      </c>
      <c r="G221" t="s">
        <v>892</v>
      </c>
      <c r="J221" s="171">
        <v>188.22</v>
      </c>
      <c r="K221" s="171">
        <f t="shared" si="11"/>
        <v>75288</v>
      </c>
      <c r="L221" s="171">
        <f t="shared" si="12"/>
        <v>7.5287999999999994E-2</v>
      </c>
      <c r="M221" s="171">
        <f t="shared" si="13"/>
        <v>591.0107999999999</v>
      </c>
      <c r="T221" t="s">
        <v>875</v>
      </c>
    </row>
    <row r="222" spans="1:20">
      <c r="A222" t="s">
        <v>847</v>
      </c>
      <c r="B222" t="s">
        <v>895</v>
      </c>
      <c r="C222" t="s">
        <v>798</v>
      </c>
      <c r="D222">
        <v>400</v>
      </c>
      <c r="E222">
        <v>0</v>
      </c>
      <c r="G222" t="s">
        <v>892</v>
      </c>
      <c r="J222" s="171">
        <v>188.22</v>
      </c>
      <c r="K222" s="171">
        <f t="shared" si="11"/>
        <v>75288</v>
      </c>
      <c r="L222" s="171">
        <f t="shared" si="12"/>
        <v>7.5287999999999994E-2</v>
      </c>
      <c r="M222" s="171">
        <f t="shared" si="13"/>
        <v>591.0107999999999</v>
      </c>
      <c r="T222" t="s">
        <v>875</v>
      </c>
    </row>
    <row r="223" spans="1:20">
      <c r="A223" t="s">
        <v>847</v>
      </c>
      <c r="B223" t="s">
        <v>877</v>
      </c>
      <c r="C223" t="s">
        <v>798</v>
      </c>
      <c r="D223">
        <v>400</v>
      </c>
      <c r="E223">
        <v>0</v>
      </c>
      <c r="G223" t="s">
        <v>878</v>
      </c>
      <c r="J223" s="171">
        <v>260.72000000000003</v>
      </c>
      <c r="K223" s="171">
        <f t="shared" si="11"/>
        <v>104288.00000000001</v>
      </c>
      <c r="L223" s="171">
        <f t="shared" si="12"/>
        <v>0.10428800000000002</v>
      </c>
      <c r="M223" s="171">
        <f t="shared" si="13"/>
        <v>818.66080000000011</v>
      </c>
      <c r="T223" t="s">
        <v>875</v>
      </c>
    </row>
    <row r="224" spans="1:20">
      <c r="A224" t="s">
        <v>847</v>
      </c>
      <c r="B224" t="s">
        <v>879</v>
      </c>
      <c r="C224" t="s">
        <v>798</v>
      </c>
      <c r="D224">
        <v>400</v>
      </c>
      <c r="E224">
        <v>0</v>
      </c>
      <c r="G224" t="s">
        <v>878</v>
      </c>
      <c r="J224" s="171">
        <v>260.72000000000003</v>
      </c>
      <c r="K224" s="171">
        <f t="shared" si="11"/>
        <v>104288.00000000001</v>
      </c>
      <c r="L224" s="171">
        <f t="shared" si="12"/>
        <v>0.10428800000000002</v>
      </c>
      <c r="M224" s="171">
        <f t="shared" si="13"/>
        <v>818.66080000000011</v>
      </c>
      <c r="T224" t="s">
        <v>875</v>
      </c>
    </row>
    <row r="225" spans="1:20">
      <c r="A225" t="s">
        <v>847</v>
      </c>
      <c r="B225" t="s">
        <v>880</v>
      </c>
      <c r="C225" t="s">
        <v>798</v>
      </c>
      <c r="D225">
        <v>400</v>
      </c>
      <c r="E225">
        <v>0</v>
      </c>
      <c r="G225" t="s">
        <v>878</v>
      </c>
      <c r="J225" s="171">
        <v>260.72000000000003</v>
      </c>
      <c r="K225" s="171">
        <f t="shared" si="11"/>
        <v>104288.00000000001</v>
      </c>
      <c r="L225" s="171">
        <f t="shared" si="12"/>
        <v>0.10428800000000002</v>
      </c>
      <c r="M225" s="171">
        <f t="shared" si="13"/>
        <v>818.66080000000011</v>
      </c>
      <c r="T225" t="s">
        <v>875</v>
      </c>
    </row>
    <row r="226" spans="1:20">
      <c r="A226" t="s">
        <v>847</v>
      </c>
      <c r="B226" t="s">
        <v>881</v>
      </c>
      <c r="C226" t="s">
        <v>798</v>
      </c>
      <c r="D226">
        <v>400</v>
      </c>
      <c r="E226">
        <v>0</v>
      </c>
      <c r="G226" t="s">
        <v>878</v>
      </c>
      <c r="J226" s="171">
        <v>260.72000000000003</v>
      </c>
      <c r="K226" s="171">
        <f t="shared" si="11"/>
        <v>104288.00000000001</v>
      </c>
      <c r="L226" s="171">
        <f t="shared" si="12"/>
        <v>0.10428800000000002</v>
      </c>
      <c r="M226" s="171">
        <f t="shared" si="13"/>
        <v>818.66080000000011</v>
      </c>
      <c r="T226" t="s">
        <v>875</v>
      </c>
    </row>
    <row r="227" spans="1:20">
      <c r="A227" t="s">
        <v>847</v>
      </c>
      <c r="B227" t="s">
        <v>882</v>
      </c>
      <c r="C227" t="s">
        <v>798</v>
      </c>
      <c r="D227">
        <v>400</v>
      </c>
      <c r="E227">
        <v>0</v>
      </c>
      <c r="G227" t="s">
        <v>878</v>
      </c>
      <c r="J227" s="171">
        <v>260.72000000000003</v>
      </c>
      <c r="K227" s="171">
        <f t="shared" si="11"/>
        <v>104288.00000000001</v>
      </c>
      <c r="L227" s="171">
        <f t="shared" si="12"/>
        <v>0.10428800000000002</v>
      </c>
      <c r="M227" s="171">
        <f t="shared" si="13"/>
        <v>818.66080000000011</v>
      </c>
      <c r="T227" t="s">
        <v>875</v>
      </c>
    </row>
    <row r="228" spans="1:20">
      <c r="A228" t="s">
        <v>847</v>
      </c>
      <c r="B228" t="s">
        <v>883</v>
      </c>
      <c r="C228" t="s">
        <v>798</v>
      </c>
      <c r="D228">
        <v>400</v>
      </c>
      <c r="E228">
        <v>0</v>
      </c>
      <c r="G228" t="s">
        <v>878</v>
      </c>
      <c r="J228" s="171">
        <v>260.72000000000003</v>
      </c>
      <c r="K228" s="171">
        <f t="shared" si="11"/>
        <v>104288.00000000001</v>
      </c>
      <c r="L228" s="171">
        <f t="shared" si="12"/>
        <v>0.10428800000000002</v>
      </c>
      <c r="M228" s="171">
        <f t="shared" si="13"/>
        <v>818.66080000000011</v>
      </c>
      <c r="T228" t="s">
        <v>875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I20:J27"/>
  <sheetViews>
    <sheetView workbookViewId="0">
      <selection activeCell="L26" sqref="L26"/>
    </sheetView>
  </sheetViews>
  <sheetFormatPr defaultRowHeight="16.5"/>
  <sheetData>
    <row r="20" spans="9:10">
      <c r="I20">
        <f>COS(0.852)</f>
        <v>0.65847926611055685</v>
      </c>
    </row>
    <row r="24" spans="9:10">
      <c r="I24">
        <v>90</v>
      </c>
      <c r="J24">
        <f>I24*I$20</f>
        <v>59.263133949950117</v>
      </c>
    </row>
    <row r="25" spans="9:10">
      <c r="I25">
        <v>110</v>
      </c>
      <c r="J25" s="171">
        <f t="shared" ref="J25:J27" si="0">I25*I$20</f>
        <v>72.432719272161251</v>
      </c>
    </row>
    <row r="26" spans="9:10">
      <c r="I26">
        <v>120</v>
      </c>
      <c r="J26" s="171">
        <f t="shared" si="0"/>
        <v>79.017511933266817</v>
      </c>
    </row>
    <row r="27" spans="9:10">
      <c r="I27">
        <v>110</v>
      </c>
      <c r="J27" s="171">
        <f t="shared" si="0"/>
        <v>72.432719272161251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"/>
  <sheetViews>
    <sheetView workbookViewId="0">
      <selection sqref="A1:I7"/>
    </sheetView>
  </sheetViews>
  <sheetFormatPr defaultRowHeight="16.5"/>
  <cols>
    <col min="1" max="1" width="12.75" bestFit="1" customWidth="1"/>
    <col min="2" max="2" width="27.5" bestFit="1" customWidth="1"/>
    <col min="5" max="5" width="20" bestFit="1" customWidth="1"/>
  </cols>
  <sheetData>
    <row r="1" spans="1:9">
      <c r="A1" s="258" t="s">
        <v>1053</v>
      </c>
      <c r="B1" s="258" t="s">
        <v>1054</v>
      </c>
      <c r="C1" s="258"/>
      <c r="D1" s="258"/>
      <c r="E1" s="258" t="s">
        <v>1055</v>
      </c>
      <c r="F1" s="258"/>
      <c r="G1" s="258"/>
      <c r="H1" s="258"/>
      <c r="I1" s="258"/>
    </row>
    <row r="2" spans="1:9">
      <c r="A2" s="258">
        <v>0.85196632717327203</v>
      </c>
      <c r="B2" s="258" t="s">
        <v>1056</v>
      </c>
      <c r="C2" s="258"/>
      <c r="D2" s="258"/>
      <c r="E2" s="258" t="s">
        <v>1057</v>
      </c>
      <c r="F2" s="258" t="s">
        <v>1058</v>
      </c>
      <c r="G2" s="258">
        <v>1.3</v>
      </c>
      <c r="H2" s="258"/>
      <c r="I2" s="258"/>
    </row>
    <row r="3" spans="1:9">
      <c r="A3" s="258">
        <v>0.85196632717327203</v>
      </c>
      <c r="B3" s="258">
        <v>2</v>
      </c>
      <c r="C3" s="258" t="s">
        <v>1059</v>
      </c>
      <c r="D3" s="258"/>
      <c r="E3" s="258" t="s">
        <v>1060</v>
      </c>
      <c r="F3" s="258" t="s">
        <v>1061</v>
      </c>
      <c r="G3" s="258">
        <v>1.2</v>
      </c>
      <c r="H3" s="258"/>
      <c r="I3" s="258"/>
    </row>
    <row r="4" spans="1:9">
      <c r="A4" s="258">
        <v>0.85196632717327203</v>
      </c>
      <c r="B4" s="258">
        <v>0.5</v>
      </c>
      <c r="C4" s="258" t="s">
        <v>1062</v>
      </c>
      <c r="D4" s="258"/>
      <c r="E4" s="258" t="s">
        <v>1063</v>
      </c>
      <c r="F4" s="258" t="s">
        <v>1063</v>
      </c>
      <c r="G4" s="258">
        <v>1.1000000000000001</v>
      </c>
      <c r="H4" s="258"/>
      <c r="I4" s="258"/>
    </row>
    <row r="5" spans="1:9">
      <c r="A5" s="258">
        <v>0.85196632717327203</v>
      </c>
      <c r="B5" s="258" t="s">
        <v>1067</v>
      </c>
      <c r="C5" s="258">
        <v>100</v>
      </c>
      <c r="D5" s="258"/>
      <c r="E5" s="258"/>
      <c r="F5" s="258"/>
      <c r="G5" s="258"/>
      <c r="H5" s="258"/>
      <c r="I5" s="258"/>
    </row>
    <row r="6" spans="1:9">
      <c r="A6" s="258">
        <v>0.85196632717327203</v>
      </c>
      <c r="B6" s="258"/>
      <c r="C6" s="258"/>
      <c r="D6" s="258"/>
      <c r="E6" s="258" t="s">
        <v>1064</v>
      </c>
      <c r="F6" s="258">
        <v>200</v>
      </c>
      <c r="G6" s="258" t="s">
        <v>1065</v>
      </c>
      <c r="H6" s="258">
        <v>2038.7359836901121</v>
      </c>
      <c r="I6" s="258" t="s">
        <v>1066</v>
      </c>
    </row>
    <row r="7" spans="1:9">
      <c r="A7" s="258">
        <v>0.85196632717327203</v>
      </c>
      <c r="B7" s="258"/>
      <c r="C7" s="258"/>
      <c r="D7" s="258"/>
      <c r="E7" s="258"/>
      <c r="F7" s="258"/>
      <c r="G7" s="258"/>
      <c r="H7" s="258"/>
      <c r="I7" s="25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>
      <c r="A1" s="51" t="s">
        <v>520</v>
      </c>
      <c r="B1" s="52"/>
      <c r="C1" s="53" t="s">
        <v>521</v>
      </c>
      <c r="D1" s="52"/>
      <c r="E1" s="52"/>
    </row>
    <row r="3" spans="1:9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>
      <c r="A17" s="264" t="s">
        <v>558</v>
      </c>
      <c r="B17" s="265" t="s">
        <v>559</v>
      </c>
      <c r="C17" s="266"/>
      <c r="D17" s="266"/>
      <c r="E17" s="266"/>
      <c r="F17" s="267"/>
      <c r="G17" s="66"/>
      <c r="H17" s="66"/>
      <c r="I17" s="66"/>
    </row>
    <row r="18" spans="1:9">
      <c r="A18" s="264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>
      <c r="A19" s="264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>
      <c r="A21" s="66"/>
      <c r="B21" s="66"/>
      <c r="C21" s="66"/>
      <c r="D21" s="66"/>
      <c r="E21" s="66"/>
      <c r="F21" s="66"/>
      <c r="G21" s="66"/>
      <c r="H21" s="66"/>
      <c r="I21" s="66"/>
    </row>
    <row r="22" spans="1:9">
      <c r="A22" s="264" t="s">
        <v>558</v>
      </c>
      <c r="B22" s="268" t="s">
        <v>560</v>
      </c>
      <c r="C22" s="268"/>
      <c r="D22" s="268"/>
      <c r="E22" s="268"/>
      <c r="F22" s="269"/>
      <c r="G22" s="66"/>
      <c r="H22" s="66"/>
      <c r="I22" s="66"/>
    </row>
    <row r="23" spans="1:9">
      <c r="A23" s="264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>
      <c r="A24" s="264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>
      <c r="A37" s="66"/>
      <c r="B37" s="66"/>
      <c r="C37" s="66"/>
      <c r="D37" s="59"/>
      <c r="E37" s="60"/>
      <c r="F37" s="60"/>
      <c r="G37" s="60"/>
      <c r="H37" s="69"/>
    </row>
    <row r="38" spans="1:8" ht="16.5">
      <c r="B38" s="25"/>
      <c r="C38" s="25"/>
      <c r="D38" s="56"/>
      <c r="E38" s="57"/>
      <c r="F38" s="57"/>
      <c r="G38" s="57"/>
      <c r="H38" s="62"/>
    </row>
    <row r="39" spans="1:8" ht="16.5">
      <c r="D39" s="56"/>
      <c r="E39" s="57"/>
      <c r="F39" s="58"/>
      <c r="G39" s="58"/>
    </row>
    <row r="40" spans="1:8">
      <c r="E40" s="45"/>
    </row>
    <row r="41" spans="1:8">
      <c r="E41" s="45"/>
    </row>
    <row r="42" spans="1:8">
      <c r="A42" s="62"/>
      <c r="B42" s="62"/>
      <c r="C42" s="62"/>
      <c r="D42" s="62"/>
      <c r="E42" s="79"/>
      <c r="F42" s="62"/>
      <c r="G42" s="62"/>
    </row>
    <row r="43" spans="1:8">
      <c r="A43" s="80"/>
      <c r="B43" s="56"/>
      <c r="C43" s="56"/>
      <c r="D43" s="56"/>
      <c r="E43" s="79"/>
      <c r="F43" s="62"/>
      <c r="G43" s="62"/>
    </row>
    <row r="44" spans="1:8">
      <c r="A44" s="57"/>
      <c r="B44" s="56"/>
      <c r="C44" s="56"/>
      <c r="D44" s="56"/>
      <c r="E44" s="79"/>
      <c r="F44" s="62"/>
      <c r="G44" s="62"/>
    </row>
    <row r="45" spans="1:8">
      <c r="A45" s="79"/>
      <c r="B45" s="79"/>
      <c r="C45" s="79"/>
      <c r="D45" s="79"/>
      <c r="E45" s="79"/>
      <c r="F45" s="62"/>
      <c r="G45" s="62"/>
    </row>
    <row r="46" spans="1:8" ht="16.5">
      <c r="B46" s="81"/>
      <c r="C46" s="81"/>
      <c r="D46" s="81"/>
      <c r="E46" s="79"/>
      <c r="F46" s="62"/>
      <c r="G46" s="62"/>
    </row>
    <row r="47" spans="1:8" ht="16.5">
      <c r="B47" s="82"/>
      <c r="C47" s="82"/>
      <c r="D47" s="82"/>
      <c r="E47" s="79"/>
      <c r="F47" s="62"/>
      <c r="G47" s="62"/>
    </row>
    <row r="48" spans="1:8">
      <c r="A48" s="56"/>
      <c r="B48" s="57"/>
      <c r="C48" s="83"/>
      <c r="D48" s="57"/>
      <c r="E48" s="79"/>
      <c r="F48" s="62"/>
    </row>
    <row r="49" spans="1:9">
      <c r="C49" s="83"/>
      <c r="D49" s="57"/>
      <c r="E49" s="79"/>
      <c r="F49" s="62"/>
    </row>
    <row r="50" spans="1:9" ht="16.5">
      <c r="A50" s="5" t="s">
        <v>562</v>
      </c>
      <c r="C50" s="83"/>
      <c r="D50" s="57"/>
      <c r="E50" s="79"/>
      <c r="F50" s="62"/>
    </row>
    <row r="51" spans="1:9" ht="16.5">
      <c r="C51" s="83"/>
      <c r="D51" s="58"/>
      <c r="E51" s="79"/>
      <c r="F51" s="62"/>
    </row>
    <row r="52" spans="1:9" ht="16.5">
      <c r="A52" s="80"/>
      <c r="B52"/>
      <c r="C52" s="56"/>
      <c r="D52" s="56"/>
      <c r="E52" s="79"/>
      <c r="F52" s="62"/>
    </row>
    <row r="53" spans="1:9">
      <c r="A53" s="57"/>
      <c r="B53" s="56"/>
      <c r="C53" s="56"/>
      <c r="D53" s="56"/>
      <c r="E53" s="79"/>
      <c r="F53" s="62"/>
    </row>
    <row r="54" spans="1:9" ht="2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>
      <c r="A55" s="79"/>
      <c r="B55"/>
      <c r="C55" s="79"/>
      <c r="D55" s="79"/>
      <c r="E55" s="79"/>
      <c r="F55" s="62"/>
    </row>
    <row r="56" spans="1:9">
      <c r="A56" s="45"/>
      <c r="B56" s="45"/>
      <c r="C56" s="45"/>
      <c r="D56" s="45"/>
      <c r="E56" s="45"/>
    </row>
    <row r="57" spans="1:9">
      <c r="A57" s="45"/>
      <c r="B57" s="45"/>
      <c r="C57" s="45"/>
      <c r="D57" s="45"/>
      <c r="E57" s="45"/>
    </row>
    <row r="58" spans="1:9">
      <c r="A58" s="45"/>
      <c r="B58" s="45"/>
      <c r="C58" s="45"/>
      <c r="D58" s="45"/>
      <c r="E58" s="45"/>
    </row>
    <row r="59" spans="1:9">
      <c r="A59" s="45"/>
      <c r="B59" s="45"/>
      <c r="C59" s="45"/>
      <c r="D59" s="45"/>
      <c r="E59" s="45"/>
    </row>
    <row r="60" spans="1:9" ht="20.25">
      <c r="G60" s="52"/>
      <c r="H60" s="50" t="s">
        <v>565</v>
      </c>
      <c r="I60" s="84">
        <f>Sheet4!B44</f>
        <v>0.17896672322080406</v>
      </c>
    </row>
    <row r="65" spans="1:9" ht="16.5">
      <c r="D65"/>
    </row>
    <row r="66" spans="1:9">
      <c r="G66" s="85" t="s">
        <v>513</v>
      </c>
      <c r="H66" s="52">
        <f>Sheet4!B47</f>
        <v>0.15979171716143223</v>
      </c>
      <c r="I66" s="52" t="s">
        <v>514</v>
      </c>
    </row>
    <row r="69" spans="1:9" ht="16.5">
      <c r="A69" s="5" t="s">
        <v>563</v>
      </c>
    </row>
    <row r="70" spans="1:9" ht="16.5">
      <c r="A70"/>
    </row>
    <row r="71" spans="1:9">
      <c r="G71" s="85" t="s">
        <v>515</v>
      </c>
      <c r="H71" s="52">
        <f>Sheet4!B48</f>
        <v>0.18819913354568679</v>
      </c>
      <c r="I71" s="52" t="s">
        <v>514</v>
      </c>
    </row>
    <row r="73" spans="1:9" ht="16.5">
      <c r="A73" s="5" t="s">
        <v>564</v>
      </c>
    </row>
    <row r="74" spans="1:9" ht="16.5">
      <c r="A74"/>
    </row>
    <row r="76" spans="1:9" ht="20.25">
      <c r="G76" s="52"/>
      <c r="H76" s="48" t="s">
        <v>517</v>
      </c>
      <c r="I76" s="84">
        <f>Sheet4!B45</f>
        <v>4.8</v>
      </c>
    </row>
    <row r="77" spans="1:9" ht="20.25">
      <c r="A77"/>
      <c r="G77" s="52"/>
      <c r="H77" s="50" t="s">
        <v>566</v>
      </c>
      <c r="I77" s="84">
        <f>Sheet4!B46</f>
        <v>0.16101481425575428</v>
      </c>
    </row>
    <row r="82" spans="1:9" ht="20.25">
      <c r="G82" s="85" t="s">
        <v>516</v>
      </c>
      <c r="H82" s="52">
        <f>Sheet4!B49</f>
        <v>0.14376322701406632</v>
      </c>
      <c r="I82" s="52" t="s">
        <v>514</v>
      </c>
    </row>
    <row r="84" spans="1:9" ht="16.5">
      <c r="A84" s="5"/>
    </row>
    <row r="85" spans="1:9" ht="16.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 xr:uid="{00000000-0002-0000-0100-000000000000}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40" zoomScaleNormal="40" workbookViewId="0">
      <selection activeCell="C16" sqref="C16"/>
    </sheetView>
  </sheetViews>
  <sheetFormatPr defaultColWidth="9" defaultRowHeight="16.5"/>
  <cols>
    <col min="1" max="1" width="22.625" style="25" customWidth="1"/>
    <col min="2" max="2" width="13.125" style="25" customWidth="1"/>
    <col min="3" max="16384" width="9" style="25"/>
  </cols>
  <sheetData>
    <row r="1" spans="1:9" ht="21" thickBot="1">
      <c r="A1" s="24" t="s">
        <v>408</v>
      </c>
      <c r="B1" s="24"/>
      <c r="C1" s="24"/>
      <c r="D1" s="24"/>
      <c r="E1" s="24"/>
      <c r="F1" s="24"/>
    </row>
    <row r="2" spans="1:9" ht="18.75" customHeight="1" thickBot="1">
      <c r="A2" s="270" t="s">
        <v>404</v>
      </c>
      <c r="B2" s="273" t="s">
        <v>490</v>
      </c>
      <c r="C2" s="274"/>
      <c r="D2" s="274"/>
      <c r="E2" s="274"/>
      <c r="F2" s="275"/>
    </row>
    <row r="3" spans="1:9" ht="20.25">
      <c r="A3" s="271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>
      <c r="A4" s="272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>
      <c r="A8" s="24"/>
      <c r="B8" s="24"/>
      <c r="C8" s="24"/>
      <c r="D8" s="24"/>
      <c r="E8" s="24"/>
      <c r="F8" s="24"/>
    </row>
    <row r="9" spans="1:9" ht="21" thickBot="1">
      <c r="A9" s="24" t="s">
        <v>409</v>
      </c>
      <c r="B9" s="24"/>
      <c r="C9" s="24"/>
      <c r="D9" s="24"/>
      <c r="E9" s="24"/>
      <c r="F9" s="24"/>
    </row>
    <row r="10" spans="1:9" ht="18.75" customHeight="1" thickBot="1">
      <c r="A10" s="270" t="s">
        <v>404</v>
      </c>
      <c r="B10" s="273" t="s">
        <v>494</v>
      </c>
      <c r="C10" s="274"/>
      <c r="D10" s="274"/>
      <c r="E10" s="274"/>
      <c r="F10" s="275"/>
    </row>
    <row r="11" spans="1:9" ht="20.25">
      <c r="A11" s="271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>
      <c r="A12" s="272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>
      <c r="A2" s="9" t="s">
        <v>440</v>
      </c>
      <c r="B2" s="9"/>
      <c r="C2" s="10"/>
      <c r="D2" s="10"/>
      <c r="E2" s="10"/>
      <c r="F2" s="10"/>
      <c r="G2" s="11"/>
    </row>
    <row r="3" spans="1:7" hidden="1" outlineLevel="1">
      <c r="A3" s="276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>
      <c r="A4" s="276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>
      <c r="A5" s="276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>
      <c r="A6" s="276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>
      <c r="A7" s="276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>
      <c r="A8" s="276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>
      <c r="A9" s="276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>
      <c r="A10" s="276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>
      <c r="A11" s="276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>
      <c r="A12" s="276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>
      <c r="A13" s="276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>
      <c r="A14" s="276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>
      <c r="A15" s="276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>
      <c r="A16" s="276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>
      <c r="A17" s="276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>
      <c r="A18" s="276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>
      <c r="A19" s="276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>
      <c r="A20" s="276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>
      <c r="A22" s="276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>
      <c r="A23" s="276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>
      <c r="A24" s="276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>
      <c r="A25" s="276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>
      <c r="A26" s="276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>
      <c r="A27" s="276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>
      <c r="A28" s="276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>
      <c r="A30" s="276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>
      <c r="A31" s="276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>
      <c r="A32" s="276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>
      <c r="A33" s="276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>
      <c r="A34" s="276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>
      <c r="A35" s="276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>
      <c r="A36" s="276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>
      <c r="A37" s="276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>
      <c r="A38" s="276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>
      <c r="A39" s="276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>
      <c r="A40" s="276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>
      <c r="A41" s="276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>
      <c r="A43" s="276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>
      <c r="A44" s="276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>
      <c r="A45" s="276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>
      <c r="A46" s="276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>
      <c r="A47" s="276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>
      <c r="A48" s="276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>
      <c r="A49" s="276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>
      <c r="A50" s="276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>
      <c r="A51" s="276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>
      <c r="A52" s="276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>
      <c r="A53" s="276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>
      <c r="A54" s="276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>
      <c r="A55" s="276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>
      <c r="A57" s="276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>
      <c r="A58" s="276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>
      <c r="A59" s="276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>
      <c r="A60" s="276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>
      <c r="A61" s="276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>
      <c r="A62" s="276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>
      <c r="A63" s="276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>
      <c r="A64" s="276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>
      <c r="A65" s="276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>
      <c r="A66" s="276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>
      <c r="A67" s="276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>
      <c r="A68" s="276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>
      <c r="A69" s="276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>
      <c r="A71" s="276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>
      <c r="A72" s="276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>
      <c r="A73" s="276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>
      <c r="A75" s="276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>
      <c r="A76" s="276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>
      <c r="A77" s="276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>
      <c r="A78" s="276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>
      <c r="A79" s="276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>
      <c r="A80" s="276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>
      <c r="A81" s="276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>
      <c r="A82" s="276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>
      <c r="A83" s="276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>
      <c r="A84" s="276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>
      <c r="A85" s="276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>
      <c r="A86" s="276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>
      <c r="A87" s="276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>
      <c r="A88" s="276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>
      <c r="A89" s="276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>
      <c r="A90" s="276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>
      <c r="A91" s="276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>
      <c r="A92" s="276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>
      <c r="A94" s="276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>
      <c r="A95" s="276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>
      <c r="A96" s="276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>
      <c r="A97" s="276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>
      <c r="A98" s="276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>
      <c r="A99" s="276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>
      <c r="A100" s="276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>
      <c r="A101" s="276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>
      <c r="A102" s="276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>
      <c r="A103" s="276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>
      <c r="A104" s="276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>
      <c r="A105" s="276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>
      <c r="A106" s="276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>
      <c r="A107" s="276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>
      <c r="A108" s="276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>
      <c r="A109" s="276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>
      <c r="A110" s="276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>
      <c r="A111" s="276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>
      <c r="A112" s="276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>
      <c r="A113" s="276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>
      <c r="A114" s="276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>
      <c r="A116" s="276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>
      <c r="A117" s="276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>
      <c r="A118" s="276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>
      <c r="A119" s="276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>
      <c r="A120" s="276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>
      <c r="A121" s="276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>
      <c r="A122" s="276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>
      <c r="A123" s="276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>
      <c r="A125" s="276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>
      <c r="A126" s="276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>
      <c r="A127" s="276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>
      <c r="A128" s="276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>
      <c r="A129" s="276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>
      <c r="A130" s="276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>
      <c r="A131" s="276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>
      <c r="A132" s="276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>
      <c r="A133" s="276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>
      <c r="A134" s="276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>
      <c r="A135" s="276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>
      <c r="A136" s="276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>
      <c r="A137" s="276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>
      <c r="A138" s="276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>
      <c r="A139" s="276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>
      <c r="A140" s="276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>
      <c r="A141" s="276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>
      <c r="A142" s="276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>
      <c r="A143" s="276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>
      <c r="A144" s="276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>
      <c r="A145" s="276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>
      <c r="A146" s="276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>
      <c r="A147" s="276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>
      <c r="A148" s="276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>
      <c r="A149" s="276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>
      <c r="A150" s="276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>
      <c r="A152" s="276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>
      <c r="A153" s="276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>
      <c r="A154" s="276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>
      <c r="A155" s="276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>
      <c r="A156" s="276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>
      <c r="A157" s="276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>
      <c r="A158" s="276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>
      <c r="A159" s="276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>
      <c r="A160" s="276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>
      <c r="A161" s="276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>
      <c r="A162" s="276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>
      <c r="A163" s="276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>
      <c r="A164" s="276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>
      <c r="A166" s="276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>
      <c r="A167" s="276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>
      <c r="A168" s="276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>
      <c r="A169" s="276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>
      <c r="A170" s="276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>
      <c r="A171" s="276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>
      <c r="A172" s="276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>
      <c r="A173" s="276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>
      <c r="A174" s="276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>
      <c r="A175" s="276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>
      <c r="A176" s="276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>
      <c r="A177" s="276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>
      <c r="A178" s="276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>
      <c r="A179" s="276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>
      <c r="A180" s="276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>
      <c r="A181" s="276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>
      <c r="A182" s="276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>
      <c r="A183" s="276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>
      <c r="A184" s="276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>
      <c r="A185" s="276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>
      <c r="A187" s="276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>
      <c r="A188" s="276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>
      <c r="A189" s="276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>
      <c r="A190" s="276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>
      <c r="A191" s="276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>
      <c r="A192" s="276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>
      <c r="A193" s="276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>
      <c r="A194" s="276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>
      <c r="A195" s="276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>
      <c r="A196" s="276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>
      <c r="A197" s="276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>
      <c r="A198" s="276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>
      <c r="A199" s="276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>
      <c r="A200" s="276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>
      <c r="A201" s="276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>
      <c r="A202" s="276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>
      <c r="A203" s="276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>
      <c r="A204" s="276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>
      <c r="A206" s="276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>
      <c r="A207" s="276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>
      <c r="A209" s="276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>
      <c r="A210" s="276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>
      <c r="A211" s="276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>
      <c r="A212" s="276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>
      <c r="A213" s="276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>
      <c r="A214" s="276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>
      <c r="A215" s="276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>
      <c r="A216" s="276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>
      <c r="A217" s="276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>
      <c r="A218" s="276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>
      <c r="A219" s="276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>
      <c r="A220" s="276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>
      <c r="A221" s="276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>
      <c r="A222" s="276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>
      <c r="A223" s="276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>
      <c r="A224" s="276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>
      <c r="A225" s="276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>
      <c r="A226" s="276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>
      <c r="A227" s="276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>
      <c r="A228" s="276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>
      <c r="A229" s="276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>
      <c r="A230" s="276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>
      <c r="A231" s="276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>
      <c r="A232" s="276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>
      <c r="A233" s="276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>
      <c r="A234" s="276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>
      <c r="A235" s="276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>
      <c r="A236" s="276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>
      <c r="A237" s="276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>
      <c r="A238" s="276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>
      <c r="A239" s="276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>
      <c r="A241" s="276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>
      <c r="A242" s="276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>
      <c r="A243" s="276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>
      <c r="A244" s="276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>
      <c r="A245" s="276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>
      <c r="A246" s="276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>
      <c r="A247" s="276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>
      <c r="A249" s="276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>
      <c r="A250" s="276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>
      <c r="A251" s="276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>
      <c r="A252" s="276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>
      <c r="A253" s="276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>
      <c r="A254" s="276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>
      <c r="A255" s="276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>
      <c r="A256" s="276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>
      <c r="A257" s="276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>
      <c r="A258" s="276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>
      <c r="A259" s="276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>
      <c r="A260" s="276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>
      <c r="A261" s="276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>
      <c r="A262" s="276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>
      <c r="A263" s="276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>
      <c r="A264" s="276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>
      <c r="A265" s="276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>
      <c r="A266" s="276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>
      <c r="A267" s="276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>
      <c r="A268" s="276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>
      <c r="A269" s="276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>
      <c r="A270" s="276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>
      <c r="A271" s="276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>
      <c r="A272" s="276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>
      <c r="A273" s="276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>
      <c r="A274" s="276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>
      <c r="A275" s="276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>
      <c r="A277" s="276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>
      <c r="A278" s="276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>
      <c r="A279" s="276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>
      <c r="A280" s="276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>
      <c r="A281" s="276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>
      <c r="A282" s="276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>
      <c r="A283" s="276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>
      <c r="A284" s="276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>
      <c r="A285" s="276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>
      <c r="A286" s="276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>
      <c r="A287" s="276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>
      <c r="A289" s="276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>
      <c r="A290" s="276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>
      <c r="A291" s="276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>
      <c r="A292" s="276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>
      <c r="A293" s="276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>
      <c r="A294" s="276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>
      <c r="A295" s="276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>
      <c r="A296" s="276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>
      <c r="A297" s="276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>
      <c r="A298" s="276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>
      <c r="A299" s="276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>
      <c r="A300" s="276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>
      <c r="A301" s="276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>
      <c r="A302" s="276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>
      <c r="A303" s="276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>
      <c r="A304" s="276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>
      <c r="A305" s="276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>
      <c r="A306" s="276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>
      <c r="A307" s="276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>
      <c r="A308" s="276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>
      <c r="A309" s="276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>
      <c r="A310" s="276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>
      <c r="A311" s="276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>
      <c r="A312" s="276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>
      <c r="A313" s="276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>
      <c r="A314" s="276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>
      <c r="A315" s="276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>
      <c r="A316" s="276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>
      <c r="A317" s="276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>
      <c r="A318" s="276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>
      <c r="A319" s="276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>
      <c r="A320" s="276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>
      <c r="A321" s="276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>
      <c r="A323" s="276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>
      <c r="A324" s="276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>
      <c r="A325" s="276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>
      <c r="A326" s="276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>
      <c r="A327" s="276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>
      <c r="A329" s="276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>
      <c r="A330" s="276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>
      <c r="A331" s="276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>
      <c r="A332" s="276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>
      <c r="A333" s="276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>
      <c r="A334" s="276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>
      <c r="A335" s="276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>
      <c r="A336" s="276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>
      <c r="A337" s="276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>
      <c r="A338" s="276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>
      <c r="A339" s="276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>
      <c r="A340" s="276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>
      <c r="A341" s="276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>
      <c r="A342" s="276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>
      <c r="A343" s="276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>
      <c r="A344" s="276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>
      <c r="A346" s="276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>
      <c r="A347" s="276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>
      <c r="A348" s="276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>
      <c r="A349" s="276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>
      <c r="A350" s="276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>
      <c r="A351" s="276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>
      <c r="A352" s="276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>
      <c r="A353" s="276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>
      <c r="A354" s="276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>
      <c r="A355" s="276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>
      <c r="A356" s="276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>
      <c r="A357" s="276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>
      <c r="A358" s="276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/>
  </sheetData>
  <mergeCells count="22"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zoomScale="80" zoomScaleNormal="80" workbookViewId="0">
      <selection activeCell="E20" sqref="E20"/>
    </sheetView>
  </sheetViews>
  <sheetFormatPr defaultColWidth="9" defaultRowHeight="16.5" customHeight="1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>
      <c r="A2" s="17" t="s">
        <v>382</v>
      </c>
      <c r="B2" s="18" t="s">
        <v>384</v>
      </c>
      <c r="C2" s="18"/>
      <c r="D2" s="19"/>
    </row>
    <row r="3" spans="1:4" ht="16.5" customHeight="1">
      <c r="A3" s="17"/>
      <c r="B3" s="18" t="s">
        <v>385</v>
      </c>
      <c r="C3" s="18">
        <v>3.2</v>
      </c>
      <c r="D3" s="19">
        <v>20</v>
      </c>
    </row>
    <row r="4" spans="1:4" ht="16.5" customHeight="1">
      <c r="A4" s="17"/>
      <c r="B4" s="18" t="s">
        <v>386</v>
      </c>
      <c r="C4" s="18">
        <v>2.4</v>
      </c>
      <c r="D4" s="19">
        <v>20</v>
      </c>
    </row>
    <row r="5" spans="1:4" ht="16.5" customHeight="1">
      <c r="A5" s="17"/>
      <c r="B5" s="18" t="s">
        <v>387</v>
      </c>
      <c r="C5" s="18"/>
      <c r="D5" s="19"/>
    </row>
    <row r="6" spans="1:4" ht="16.5" customHeight="1">
      <c r="A6" s="17"/>
      <c r="B6" s="18" t="s">
        <v>388</v>
      </c>
      <c r="C6" s="18">
        <v>3.3</v>
      </c>
      <c r="D6" s="19">
        <v>50</v>
      </c>
    </row>
    <row r="7" spans="1:4" ht="16.5" customHeight="1">
      <c r="A7" s="17"/>
      <c r="B7" s="18" t="s">
        <v>389</v>
      </c>
      <c r="C7" s="18">
        <v>2</v>
      </c>
      <c r="D7" s="19">
        <v>20</v>
      </c>
    </row>
    <row r="8" spans="1:4" ht="16.5" customHeight="1">
      <c r="A8" s="17"/>
      <c r="B8" s="18" t="s">
        <v>390</v>
      </c>
      <c r="C8" s="18">
        <v>1.6</v>
      </c>
      <c r="D8" s="19">
        <v>20</v>
      </c>
    </row>
    <row r="9" spans="1:4" ht="16.5" customHeight="1">
      <c r="A9" s="17"/>
      <c r="B9" s="18" t="s">
        <v>391</v>
      </c>
      <c r="C9" s="18"/>
      <c r="D9" s="19"/>
    </row>
    <row r="10" spans="1:4" ht="16.5" customHeight="1">
      <c r="A10" s="17"/>
      <c r="B10" s="18" t="s">
        <v>364</v>
      </c>
      <c r="C10" s="18">
        <v>3</v>
      </c>
      <c r="D10" s="19">
        <v>50</v>
      </c>
    </row>
    <row r="11" spans="1:4" ht="16.5" customHeight="1">
      <c r="A11" s="17"/>
      <c r="B11" s="18" t="s">
        <v>392</v>
      </c>
      <c r="C11" s="18">
        <v>1.6</v>
      </c>
      <c r="D11" s="19">
        <v>20</v>
      </c>
    </row>
    <row r="12" spans="1:4" ht="16.5" customHeight="1">
      <c r="A12" s="17"/>
      <c r="B12" s="18"/>
      <c r="C12" s="18"/>
      <c r="D12" s="19"/>
    </row>
    <row r="13" spans="1:4" ht="16.5" customHeight="1">
      <c r="A13" s="17"/>
      <c r="B13" s="18"/>
      <c r="C13" s="18"/>
      <c r="D13" s="19"/>
    </row>
    <row r="14" spans="1:4" ht="16.5" customHeight="1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>
      <c r="A15" s="17"/>
      <c r="B15" s="18" t="s">
        <v>394</v>
      </c>
      <c r="C15" s="18"/>
      <c r="D15" s="19"/>
    </row>
    <row r="16" spans="1:4" ht="16.5" customHeight="1">
      <c r="A16" s="17"/>
      <c r="B16" s="18" t="s">
        <v>402</v>
      </c>
      <c r="C16" s="18">
        <v>3.6</v>
      </c>
      <c r="D16" s="19">
        <v>20</v>
      </c>
    </row>
    <row r="17" spans="1:4" ht="16.5" customHeight="1">
      <c r="A17" s="17"/>
      <c r="B17" s="18" t="s">
        <v>403</v>
      </c>
      <c r="C17" s="18">
        <v>2.8</v>
      </c>
      <c r="D17" s="19">
        <v>20</v>
      </c>
    </row>
    <row r="18" spans="1:4" ht="16.5" customHeight="1">
      <c r="A18" s="17"/>
      <c r="B18" s="18" t="s">
        <v>395</v>
      </c>
      <c r="C18" s="18"/>
      <c r="D18" s="19"/>
    </row>
    <row r="19" spans="1:4" ht="16.5" customHeight="1">
      <c r="A19" s="17"/>
      <c r="B19" s="18" t="s">
        <v>396</v>
      </c>
      <c r="C19" s="18">
        <v>4</v>
      </c>
      <c r="D19" s="19">
        <v>50</v>
      </c>
    </row>
    <row r="20" spans="1:4" ht="16.5" customHeight="1">
      <c r="A20" s="17"/>
      <c r="B20" s="18" t="s">
        <v>397</v>
      </c>
      <c r="C20" s="18">
        <v>3.6</v>
      </c>
      <c r="D20" s="19">
        <v>50</v>
      </c>
    </row>
    <row r="21" spans="1:4" ht="16.5" customHeight="1">
      <c r="A21" s="17"/>
      <c r="B21" s="18" t="s">
        <v>398</v>
      </c>
      <c r="C21" s="18">
        <v>3.2</v>
      </c>
      <c r="D21" s="19">
        <v>50</v>
      </c>
    </row>
    <row r="22" spans="1:4" ht="16.5" customHeight="1">
      <c r="A22" s="17"/>
      <c r="B22" s="18" t="s">
        <v>399</v>
      </c>
      <c r="C22" s="18">
        <v>3.6</v>
      </c>
      <c r="D22" s="19">
        <v>50</v>
      </c>
    </row>
    <row r="23" spans="1:4" ht="16.5" customHeight="1">
      <c r="A23" s="17"/>
      <c r="B23" s="18" t="s">
        <v>400</v>
      </c>
      <c r="C23" s="18">
        <v>4.2</v>
      </c>
      <c r="D23" s="19">
        <v>75</v>
      </c>
    </row>
    <row r="24" spans="1:4" ht="16.5" customHeight="1">
      <c r="A24" s="17"/>
      <c r="B24" s="18" t="s">
        <v>401</v>
      </c>
      <c r="C24" s="18">
        <v>3.6</v>
      </c>
      <c r="D24" s="19">
        <v>50</v>
      </c>
    </row>
    <row r="25" spans="1:4" ht="16.5" customHeight="1" thickBot="1">
      <c r="A25" s="22"/>
      <c r="B25" s="20"/>
      <c r="C25" s="20"/>
      <c r="D25" s="23"/>
    </row>
    <row r="26" spans="1:4" ht="16.5" customHeight="1">
      <c r="A26" s="17" t="s">
        <v>359</v>
      </c>
      <c r="B26" s="18" t="s">
        <v>363</v>
      </c>
      <c r="C26" s="18"/>
      <c r="D26" s="19"/>
    </row>
    <row r="27" spans="1:4" ht="16.5" customHeight="1">
      <c r="A27" s="17"/>
      <c r="B27" s="18" t="s">
        <v>364</v>
      </c>
      <c r="C27" s="18">
        <v>4.8</v>
      </c>
      <c r="D27" s="19" t="s">
        <v>361</v>
      </c>
    </row>
    <row r="28" spans="1:4" ht="16.5" customHeight="1">
      <c r="A28" s="17"/>
      <c r="B28" s="18" t="s">
        <v>365</v>
      </c>
      <c r="C28" s="18">
        <v>4.8</v>
      </c>
      <c r="D28" s="19" t="s">
        <v>361</v>
      </c>
    </row>
    <row r="29" spans="1:4" ht="16.5" customHeight="1">
      <c r="A29" s="17"/>
      <c r="B29" s="18" t="s">
        <v>366</v>
      </c>
      <c r="C29" s="18">
        <v>4.8</v>
      </c>
      <c r="D29" s="19" t="s">
        <v>361</v>
      </c>
    </row>
    <row r="30" spans="1:4" ht="16.5" customHeight="1">
      <c r="A30" s="17"/>
      <c r="B30" s="18" t="s">
        <v>367</v>
      </c>
      <c r="C30" s="18">
        <v>4</v>
      </c>
      <c r="D30" s="19" t="s">
        <v>361</v>
      </c>
    </row>
    <row r="31" spans="1:4" ht="16.5" customHeight="1">
      <c r="A31" s="17"/>
      <c r="B31" s="18" t="s">
        <v>368</v>
      </c>
      <c r="C31" s="18"/>
      <c r="D31" s="19"/>
    </row>
    <row r="32" spans="1:4" ht="16.5" customHeight="1">
      <c r="A32" s="17"/>
      <c r="B32" s="18" t="s">
        <v>364</v>
      </c>
      <c r="C32" s="18">
        <v>3.2</v>
      </c>
      <c r="D32" s="19">
        <v>50</v>
      </c>
    </row>
    <row r="33" spans="1:4" ht="16.5" customHeight="1">
      <c r="A33" s="17"/>
      <c r="B33" s="18" t="s">
        <v>369</v>
      </c>
      <c r="C33" s="18">
        <v>3.2</v>
      </c>
      <c r="D33" s="19">
        <v>50</v>
      </c>
    </row>
    <row r="34" spans="1:4" ht="16.5" customHeight="1">
      <c r="A34" s="17"/>
      <c r="B34" s="18" t="s">
        <v>370</v>
      </c>
      <c r="C34" s="18">
        <v>4</v>
      </c>
      <c r="D34" s="19">
        <v>50</v>
      </c>
    </row>
    <row r="35" spans="1:4" ht="16.5" customHeight="1">
      <c r="A35" s="17"/>
      <c r="B35" s="18"/>
      <c r="C35" s="18"/>
      <c r="D35" s="19"/>
    </row>
    <row r="36" spans="1:4" ht="16.5" customHeight="1">
      <c r="A36" s="17" t="s">
        <v>360</v>
      </c>
      <c r="B36" s="18"/>
      <c r="C36" s="18"/>
      <c r="D36" s="19"/>
    </row>
    <row r="37" spans="1:4" ht="16.5" customHeight="1">
      <c r="A37" s="3"/>
      <c r="B37" s="18" t="s">
        <v>371</v>
      </c>
      <c r="C37" s="18"/>
      <c r="D37" s="19"/>
    </row>
    <row r="38" spans="1:4" ht="16.5" customHeight="1">
      <c r="A38" s="3"/>
      <c r="B38" s="18" t="s">
        <v>372</v>
      </c>
      <c r="C38" s="18">
        <v>4.8</v>
      </c>
      <c r="D38" s="19" t="s">
        <v>361</v>
      </c>
    </row>
    <row r="39" spans="1:4" ht="16.5" customHeight="1">
      <c r="A39" s="3"/>
      <c r="B39" s="18" t="s">
        <v>373</v>
      </c>
      <c r="C39" s="18">
        <v>4</v>
      </c>
      <c r="D39" s="19" t="s">
        <v>361</v>
      </c>
    </row>
    <row r="40" spans="1:4" ht="16.5" customHeight="1">
      <c r="A40" s="3"/>
      <c r="B40" s="18" t="s">
        <v>374</v>
      </c>
      <c r="C40" s="18">
        <v>4.8</v>
      </c>
      <c r="D40" s="19" t="s">
        <v>361</v>
      </c>
    </row>
    <row r="41" spans="1:4" ht="16.5" customHeight="1">
      <c r="A41" s="3"/>
      <c r="B41" s="18" t="s">
        <v>375</v>
      </c>
      <c r="C41" s="18">
        <v>4</v>
      </c>
      <c r="D41" s="19" t="s">
        <v>361</v>
      </c>
    </row>
    <row r="42" spans="1:4" ht="16.5" customHeight="1">
      <c r="A42" s="3"/>
      <c r="B42" s="18" t="s">
        <v>376</v>
      </c>
      <c r="C42" s="18">
        <v>3.2</v>
      </c>
      <c r="D42" s="19">
        <v>50</v>
      </c>
    </row>
    <row r="43" spans="1:4" ht="16.5" customHeight="1">
      <c r="A43" s="3"/>
      <c r="B43" s="18" t="s">
        <v>377</v>
      </c>
      <c r="C43" s="18"/>
      <c r="D43" s="19"/>
    </row>
    <row r="44" spans="1:4" ht="16.5" customHeight="1">
      <c r="A44" s="3"/>
      <c r="B44" s="18" t="s">
        <v>378</v>
      </c>
      <c r="C44" s="18">
        <v>4.8</v>
      </c>
      <c r="D44" s="19" t="s">
        <v>361</v>
      </c>
    </row>
    <row r="45" spans="1:4" ht="16.5" customHeight="1">
      <c r="A45" s="3"/>
      <c r="B45" s="18" t="s">
        <v>379</v>
      </c>
      <c r="C45" s="18">
        <v>4.8</v>
      </c>
      <c r="D45" s="19" t="s">
        <v>361</v>
      </c>
    </row>
    <row r="46" spans="1:4" ht="16.5" customHeight="1">
      <c r="A46" s="3"/>
      <c r="B46" s="18" t="s">
        <v>380</v>
      </c>
      <c r="C46" s="18">
        <v>4</v>
      </c>
      <c r="D46" s="19" t="s">
        <v>361</v>
      </c>
    </row>
    <row r="47" spans="1:4" ht="16.5" customHeight="1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6"/>
  <sheetViews>
    <sheetView zoomScale="70" zoomScaleNormal="70" workbookViewId="0">
      <selection activeCell="A50" sqref="A50"/>
    </sheetView>
  </sheetViews>
  <sheetFormatPr defaultColWidth="9" defaultRowHeight="15.75" outlineLevelRow="1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>
      <c r="A1" s="42" t="s">
        <v>410</v>
      </c>
    </row>
    <row r="2" spans="1:8" ht="17.25" hidden="1" outlineLevel="1" thickBot="1">
      <c r="A2" s="35" t="s">
        <v>411</v>
      </c>
      <c r="H2" s="34"/>
    </row>
    <row r="3" spans="1:8" ht="32.25" hidden="1" outlineLevel="1" thickBot="1">
      <c r="A3" s="281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>
      <c r="A4" s="282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>
      <c r="A5" s="283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>
      <c r="A6" s="284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>
      <c r="A7" s="35" t="s">
        <v>412</v>
      </c>
      <c r="H7" s="34"/>
    </row>
    <row r="8" spans="1:8" ht="32.25" hidden="1" outlineLevel="1" thickBot="1">
      <c r="A8" s="281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>
      <c r="A9" s="282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>
      <c r="A10" s="283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>
      <c r="A11" s="284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>
      <c r="A12" s="35"/>
      <c r="H12" s="34"/>
    </row>
    <row r="13" spans="1:8" s="43" customFormat="1" ht="16.5" collapsed="1">
      <c r="A13" s="42" t="s">
        <v>413</v>
      </c>
    </row>
    <row r="14" spans="1:8" ht="17.25" hidden="1" outlineLevel="1" thickBot="1">
      <c r="A14" s="35" t="s">
        <v>411</v>
      </c>
      <c r="H14" s="34"/>
    </row>
    <row r="15" spans="1:8" ht="32.25" hidden="1" outlineLevel="1" thickBot="1">
      <c r="A15" s="281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>
      <c r="A16" s="282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>
      <c r="A17" s="283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>
      <c r="A18" s="284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>
      <c r="A19" s="35" t="s">
        <v>412</v>
      </c>
      <c r="H19" s="34"/>
    </row>
    <row r="20" spans="1:8" ht="32.25" hidden="1" outlineLevel="1" thickBot="1">
      <c r="A20" s="281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>
      <c r="A21" s="282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>
      <c r="A22" s="283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>
      <c r="A23" s="284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>
      <c r="A24" s="35"/>
      <c r="H24" s="34"/>
    </row>
    <row r="25" spans="1:8" s="43" customFormat="1" ht="16.5" collapsed="1">
      <c r="A25" s="42" t="s">
        <v>414</v>
      </c>
    </row>
    <row r="26" spans="1:8" ht="17.25" hidden="1" outlineLevel="1" thickBot="1">
      <c r="A26" s="35" t="s">
        <v>411</v>
      </c>
      <c r="H26" s="34"/>
    </row>
    <row r="27" spans="1:8" ht="32.25" hidden="1" outlineLevel="1" thickBot="1">
      <c r="A27" s="281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>
      <c r="A28" s="282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>
      <c r="A29" s="283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>
      <c r="A30" s="284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>
      <c r="A31" s="35" t="s">
        <v>412</v>
      </c>
      <c r="H31" s="34"/>
    </row>
    <row r="32" spans="1:8" ht="32.25" hidden="1" outlineLevel="1" thickBot="1">
      <c r="A32" s="281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>
      <c r="A33" s="282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>
      <c r="A34" s="283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>
      <c r="A35" s="284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>
      <c r="A36" s="35"/>
      <c r="H36" s="34"/>
    </row>
    <row r="37" spans="1:8" ht="16.5" hidden="1" outlineLevel="1">
      <c r="A37" s="35"/>
      <c r="H37" s="34"/>
    </row>
    <row r="38" spans="1:8" s="43" customFormat="1" ht="16.5" collapsed="1">
      <c r="A38" s="42" t="s">
        <v>415</v>
      </c>
    </row>
    <row r="39" spans="1:8" ht="17.25" hidden="1" outlineLevel="1" thickBot="1">
      <c r="A39" s="35" t="s">
        <v>411</v>
      </c>
      <c r="H39" s="34"/>
    </row>
    <row r="40" spans="1:8" ht="32.25" hidden="1" outlineLevel="1" thickBot="1">
      <c r="A40" s="281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>
      <c r="A41" s="282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>
      <c r="A42" s="283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>
      <c r="A43" s="284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>
      <c r="A44" s="35" t="s">
        <v>412</v>
      </c>
      <c r="H44" s="34"/>
    </row>
    <row r="45" spans="1:8" ht="32.25" hidden="1" outlineLevel="1" thickBot="1">
      <c r="A45" s="281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>
      <c r="A46" s="282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>
      <c r="A47" s="283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>
      <c r="A48" s="284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>
      <c r="A49" s="35"/>
      <c r="H49" s="34"/>
    </row>
    <row r="50" spans="1:8" s="43" customFormat="1" ht="16.5" collapsed="1">
      <c r="A50" s="42" t="s">
        <v>416</v>
      </c>
    </row>
    <row r="51" spans="1:8" ht="17.25" hidden="1" outlineLevel="1" thickBot="1">
      <c r="A51" s="35" t="s">
        <v>411</v>
      </c>
      <c r="H51" s="34"/>
    </row>
    <row r="52" spans="1:8" ht="32.25" hidden="1" outlineLevel="1" thickBot="1">
      <c r="A52" s="281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>
      <c r="A53" s="282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>
      <c r="A54" s="283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>
      <c r="A55" s="284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>
      <c r="A56" s="35" t="s">
        <v>412</v>
      </c>
      <c r="H56" s="34"/>
    </row>
    <row r="57" spans="1:8" ht="32.25" hidden="1" outlineLevel="1" thickBot="1">
      <c r="A57" s="281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>
      <c r="A58" s="282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>
      <c r="A59" s="283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>
      <c r="A60" s="284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>
      <c r="A61" s="35"/>
      <c r="H61" s="34"/>
    </row>
    <row r="62" spans="1:8" s="43" customFormat="1" ht="16.5" collapsed="1">
      <c r="A62" s="42" t="s">
        <v>417</v>
      </c>
    </row>
    <row r="63" spans="1:8" ht="17.25" hidden="1" outlineLevel="1" thickBot="1">
      <c r="A63" s="35" t="s">
        <v>411</v>
      </c>
      <c r="H63" s="34"/>
    </row>
    <row r="64" spans="1:8" ht="32.25" hidden="1" outlineLevel="1" thickBot="1">
      <c r="A64" s="281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>
      <c r="A65" s="282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>
      <c r="A66" s="283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>
      <c r="A67" s="284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>
      <c r="A68" s="35" t="s">
        <v>412</v>
      </c>
      <c r="H68" s="34"/>
    </row>
    <row r="69" spans="1:8" ht="32.25" hidden="1" outlineLevel="1" thickBot="1">
      <c r="A69" s="281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>
      <c r="A70" s="282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>
      <c r="A71" s="283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>
      <c r="A72" s="284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>
      <c r="A73" s="35"/>
      <c r="H73" s="34"/>
    </row>
    <row r="74" spans="1:8" ht="16.5" hidden="1" outlineLevel="1">
      <c r="A74" s="35"/>
      <c r="H74" s="34"/>
    </row>
    <row r="75" spans="1:8" s="43" customFormat="1" ht="16.5" collapsed="1">
      <c r="A75" s="42" t="s">
        <v>418</v>
      </c>
    </row>
    <row r="76" spans="1:8" ht="16.5" hidden="1" outlineLevel="1" thickBot="1">
      <c r="A76" s="24" t="s">
        <v>411</v>
      </c>
      <c r="H76" s="34"/>
    </row>
    <row r="77" spans="1:8" ht="32.25" hidden="1" outlineLevel="1" thickBot="1">
      <c r="A77" s="277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>
      <c r="A78" s="278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>
      <c r="A79" s="279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>
      <c r="A80" s="280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>
      <c r="A81" s="24" t="s">
        <v>412</v>
      </c>
      <c r="H81" s="34"/>
    </row>
    <row r="82" spans="1:8" ht="32.25" hidden="1" outlineLevel="1" thickBot="1">
      <c r="A82" s="277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>
      <c r="A83" s="278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>
      <c r="A84" s="279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>
      <c r="A85" s="280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/>
  </sheetData>
  <mergeCells count="28">
    <mergeCell ref="A17:A18"/>
    <mergeCell ref="A3:A4"/>
    <mergeCell ref="A5:A6"/>
    <mergeCell ref="A8:A9"/>
    <mergeCell ref="A10:A11"/>
    <mergeCell ref="A15:A16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3"/>
  <sheetViews>
    <sheetView topLeftCell="A103" zoomScale="70" zoomScaleNormal="70" workbookViewId="0">
      <selection activeCell="D66" sqref="D61:D66"/>
    </sheetView>
  </sheetViews>
  <sheetFormatPr defaultColWidth="9" defaultRowHeight="15.7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>
      <c r="A1" s="285" t="s">
        <v>572</v>
      </c>
      <c r="B1" s="286"/>
      <c r="C1" s="286"/>
      <c r="D1" s="287"/>
      <c r="F1" s="285" t="s">
        <v>806</v>
      </c>
      <c r="G1" s="286"/>
      <c r="H1" s="286"/>
      <c r="I1" s="287"/>
    </row>
    <row r="2" spans="1:9" ht="16.5" thickBot="1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4">
        <f>34*38</f>
        <v>1292</v>
      </c>
      <c r="I4" s="93">
        <f>H4*G4</f>
        <v>361760</v>
      </c>
    </row>
    <row r="5" spans="1:9" ht="63">
      <c r="A5" s="105" t="s">
        <v>576</v>
      </c>
      <c r="B5" s="89">
        <v>100</v>
      </c>
      <c r="C5" s="174">
        <f>34*38</f>
        <v>1292</v>
      </c>
      <c r="D5" s="93">
        <f>C5*B5</f>
        <v>129200</v>
      </c>
      <c r="F5" s="105" t="s">
        <v>576</v>
      </c>
      <c r="G5" s="89">
        <v>100</v>
      </c>
      <c r="H5" s="174">
        <f>34*38</f>
        <v>1292</v>
      </c>
      <c r="I5" s="93">
        <f>H5*G5</f>
        <v>129200</v>
      </c>
    </row>
    <row r="6" spans="1:9">
      <c r="A6" s="105" t="s">
        <v>578</v>
      </c>
      <c r="B6" s="89"/>
      <c r="C6" s="174">
        <f>34*38</f>
        <v>1292</v>
      </c>
      <c r="D6" s="93">
        <v>45000</v>
      </c>
      <c r="F6" s="105" t="s">
        <v>577</v>
      </c>
      <c r="G6" s="89">
        <v>100</v>
      </c>
      <c r="H6" s="174">
        <f>34*38</f>
        <v>1292</v>
      </c>
      <c r="I6" s="93">
        <f>H6*G6</f>
        <v>129200</v>
      </c>
    </row>
    <row r="7" spans="1:9" ht="32.25" thickBot="1">
      <c r="A7" s="106" t="s">
        <v>579</v>
      </c>
      <c r="B7" s="102">
        <v>80</v>
      </c>
      <c r="C7" s="174">
        <f>34*38</f>
        <v>1292</v>
      </c>
      <c r="D7" s="95">
        <f>C7*B7</f>
        <v>103360</v>
      </c>
      <c r="F7" s="106" t="s">
        <v>579</v>
      </c>
      <c r="G7" s="102">
        <v>80</v>
      </c>
      <c r="H7" s="174">
        <f>34*38</f>
        <v>1292</v>
      </c>
      <c r="I7" s="95">
        <f>H7*G7</f>
        <v>103360</v>
      </c>
    </row>
    <row r="8" spans="1:9" ht="18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88" t="s">
        <v>619</v>
      </c>
      <c r="G10" s="289"/>
      <c r="H10" s="289"/>
      <c r="I10" s="96">
        <f>SUM(I4:I7,I9:I9)/1000</f>
        <v>792.64</v>
      </c>
    </row>
    <row r="11" spans="1:9" ht="16.5" thickBot="1">
      <c r="A11" s="288" t="s">
        <v>618</v>
      </c>
      <c r="B11" s="289"/>
      <c r="C11" s="289"/>
      <c r="D11" s="96">
        <f>SUM(D4:D7,D9:D10)/1000</f>
        <v>698.072</v>
      </c>
    </row>
    <row r="12" spans="1:9" ht="16.5" thickBot="1">
      <c r="F12" s="285" t="s">
        <v>807</v>
      </c>
      <c r="G12" s="286"/>
      <c r="H12" s="286"/>
      <c r="I12" s="287"/>
    </row>
    <row r="13" spans="1:9" ht="16.5" thickBot="1">
      <c r="A13" s="285" t="s">
        <v>808</v>
      </c>
      <c r="B13" s="286"/>
      <c r="C13" s="286"/>
      <c r="D13" s="287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4">
        <f>34*38</f>
        <v>1292</v>
      </c>
      <c r="I15" s="93">
        <f>H15*G15</f>
        <v>361760</v>
      </c>
    </row>
    <row r="16" spans="1:9" ht="47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4">
        <f>34*38</f>
        <v>1292</v>
      </c>
      <c r="I16" s="93">
        <f>H16*G16</f>
        <v>129200</v>
      </c>
    </row>
    <row r="17" spans="1:9" ht="63">
      <c r="A17" s="105" t="s">
        <v>576</v>
      </c>
      <c r="B17" s="89">
        <v>100</v>
      </c>
      <c r="C17" s="174">
        <f>34*38</f>
        <v>1292</v>
      </c>
      <c r="D17" s="93">
        <f>C17*B17</f>
        <v>129200</v>
      </c>
      <c r="F17" s="105" t="s">
        <v>577</v>
      </c>
      <c r="G17" s="89">
        <v>100</v>
      </c>
      <c r="H17" s="174">
        <f>34*38</f>
        <v>1292</v>
      </c>
      <c r="I17" s="93">
        <f>H17*G17</f>
        <v>129200</v>
      </c>
    </row>
    <row r="18" spans="1:9" ht="32.25" thickBot="1">
      <c r="A18" s="105" t="s">
        <v>577</v>
      </c>
      <c r="B18" s="89">
        <v>100</v>
      </c>
      <c r="C18" s="174">
        <f>34*38</f>
        <v>1292</v>
      </c>
      <c r="D18" s="93">
        <f>C18*B18</f>
        <v>129200</v>
      </c>
      <c r="F18" s="106" t="s">
        <v>579</v>
      </c>
      <c r="G18" s="102">
        <v>80</v>
      </c>
      <c r="H18" s="174">
        <f>34*38</f>
        <v>1292</v>
      </c>
      <c r="I18" s="95">
        <f>H18*G18</f>
        <v>103360</v>
      </c>
    </row>
    <row r="19" spans="1:9" ht="32.25" thickBot="1">
      <c r="A19" s="106" t="s">
        <v>579</v>
      </c>
      <c r="B19" s="102">
        <v>80</v>
      </c>
      <c r="C19" s="174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>
      <c r="A21" s="106" t="s">
        <v>580</v>
      </c>
      <c r="B21" s="102">
        <v>4</v>
      </c>
      <c r="C21" s="94">
        <v>120</v>
      </c>
      <c r="D21" s="95">
        <f>C21*B21*B14</f>
        <v>69120</v>
      </c>
      <c r="F21" s="288" t="s">
        <v>619</v>
      </c>
      <c r="G21" s="289"/>
      <c r="H21" s="289"/>
      <c r="I21" s="96">
        <f>SUM(I15:I18,I20:I20)/1000</f>
        <v>792.64</v>
      </c>
    </row>
    <row r="22" spans="1:9" ht="16.5" thickBot="1">
      <c r="A22" s="288" t="s">
        <v>619</v>
      </c>
      <c r="B22" s="289"/>
      <c r="C22" s="289"/>
      <c r="D22" s="96">
        <f>SUM(D16:D19,D21:D21)/1000</f>
        <v>792.64</v>
      </c>
    </row>
    <row r="23" spans="1:9" ht="16.5" thickBot="1"/>
    <row r="24" spans="1:9" ht="16.5" thickBot="1">
      <c r="A24" s="285" t="s">
        <v>809</v>
      </c>
      <c r="B24" s="286"/>
      <c r="C24" s="286"/>
      <c r="D24" s="287"/>
    </row>
    <row r="25" spans="1:9" ht="16.5" thickBot="1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>
      <c r="A27" s="105" t="s">
        <v>598</v>
      </c>
      <c r="B27" s="89">
        <v>280</v>
      </c>
      <c r="C27" s="174">
        <f>34*38</f>
        <v>1292</v>
      </c>
      <c r="D27" s="93">
        <f>C27*B27</f>
        <v>361760</v>
      </c>
    </row>
    <row r="28" spans="1:9" ht="63">
      <c r="A28" s="105" t="s">
        <v>599</v>
      </c>
      <c r="B28" s="89">
        <v>100</v>
      </c>
      <c r="C28" s="174">
        <f>34*38</f>
        <v>1292</v>
      </c>
      <c r="D28" s="93">
        <f>C28*B28</f>
        <v>129200</v>
      </c>
    </row>
    <row r="29" spans="1:9">
      <c r="A29" s="105" t="s">
        <v>600</v>
      </c>
      <c r="B29" s="89">
        <v>100</v>
      </c>
      <c r="C29" s="174">
        <f>34*38</f>
        <v>1292</v>
      </c>
      <c r="D29" s="93">
        <f>C29*B29</f>
        <v>129200</v>
      </c>
    </row>
    <row r="30" spans="1:9" ht="32.25" thickBot="1">
      <c r="A30" s="106" t="s">
        <v>601</v>
      </c>
      <c r="B30" s="102">
        <v>80</v>
      </c>
      <c r="C30" s="174">
        <f>34*38</f>
        <v>1292</v>
      </c>
      <c r="D30" s="95">
        <f>C30*B30</f>
        <v>103360</v>
      </c>
    </row>
    <row r="31" spans="1:9" ht="18">
      <c r="A31" s="107"/>
      <c r="B31" s="101" t="s">
        <v>602</v>
      </c>
      <c r="C31" s="91" t="s">
        <v>595</v>
      </c>
      <c r="D31" s="92" t="s">
        <v>597</v>
      </c>
    </row>
    <row r="32" spans="1:9" ht="16.5" thickBot="1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>
      <c r="A33" s="288" t="s">
        <v>620</v>
      </c>
      <c r="B33" s="289"/>
      <c r="C33" s="289"/>
      <c r="D33" s="96">
        <f>SUM(D27:D30,D32:D32)/1000</f>
        <v>792.64</v>
      </c>
    </row>
    <row r="34" spans="1:5" ht="16.5" thickBot="1"/>
    <row r="35" spans="1:5" ht="16.5" thickBot="1">
      <c r="A35" s="285" t="s">
        <v>810</v>
      </c>
      <c r="B35" s="286"/>
      <c r="C35" s="286"/>
      <c r="D35" s="287"/>
    </row>
    <row r="36" spans="1:5" ht="16.5" thickBot="1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>
      <c r="A38" s="105" t="s">
        <v>598</v>
      </c>
      <c r="B38" s="89">
        <v>280</v>
      </c>
      <c r="C38" s="174">
        <f>34*38</f>
        <v>1292</v>
      </c>
      <c r="D38" s="93">
        <f>C38*B38</f>
        <v>361760</v>
      </c>
    </row>
    <row r="39" spans="1:5" ht="63">
      <c r="A39" s="105" t="s">
        <v>599</v>
      </c>
      <c r="B39" s="89">
        <v>100</v>
      </c>
      <c r="C39" s="174">
        <f>34*38</f>
        <v>1292</v>
      </c>
      <c r="D39" s="93">
        <f>C39*B39</f>
        <v>129200</v>
      </c>
    </row>
    <row r="40" spans="1:5">
      <c r="A40" s="105" t="s">
        <v>600</v>
      </c>
      <c r="B40" s="89">
        <v>100</v>
      </c>
      <c r="C40" s="174">
        <f>34*38</f>
        <v>1292</v>
      </c>
      <c r="D40" s="93">
        <f>C40*B40</f>
        <v>129200</v>
      </c>
    </row>
    <row r="41" spans="1:5" ht="32.25" thickBot="1">
      <c r="A41" s="106" t="s">
        <v>601</v>
      </c>
      <c r="B41" s="102">
        <v>80</v>
      </c>
      <c r="C41" s="174">
        <f>34*38</f>
        <v>1292</v>
      </c>
      <c r="D41" s="95">
        <f>C41*B41</f>
        <v>103360</v>
      </c>
    </row>
    <row r="42" spans="1:5" ht="18">
      <c r="A42" s="107"/>
      <c r="B42" s="101" t="s">
        <v>602</v>
      </c>
      <c r="C42" s="91" t="s">
        <v>595</v>
      </c>
      <c r="D42" s="92" t="s">
        <v>597</v>
      </c>
    </row>
    <row r="43" spans="1:5" ht="16.5" thickBot="1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>
      <c r="A44" s="288" t="s">
        <v>621</v>
      </c>
      <c r="B44" s="289"/>
      <c r="C44" s="289"/>
      <c r="D44" s="96">
        <f>SUM(D38:D41,D43:D43)/1000</f>
        <v>792.64</v>
      </c>
    </row>
    <row r="45" spans="1:5" ht="16.5" thickBot="1"/>
    <row r="46" spans="1:5" ht="16.5" thickBot="1">
      <c r="A46" s="291" t="s">
        <v>622</v>
      </c>
      <c r="B46" s="292"/>
      <c r="C46" s="292"/>
      <c r="D46" s="96">
        <f>D44+D33+D22+D11+I10+I21</f>
        <v>4661.2719999999999</v>
      </c>
    </row>
    <row r="47" spans="1:5" ht="16.5" thickBot="1">
      <c r="A47" s="293" t="s">
        <v>624</v>
      </c>
      <c r="B47" s="294"/>
      <c r="C47" s="295"/>
      <c r="D47" s="187">
        <f>D46*E47</f>
        <v>677.28282160000003</v>
      </c>
      <c r="E47" s="6">
        <v>0.14530000000000001</v>
      </c>
    </row>
    <row r="48" spans="1:5" ht="16.5" thickBot="1">
      <c r="A48" s="296" t="s">
        <v>623</v>
      </c>
      <c r="B48" s="297"/>
      <c r="C48" s="298"/>
      <c r="D48" s="100">
        <f>D46*E48</f>
        <v>822.24838079999995</v>
      </c>
      <c r="E48" s="6">
        <v>0.1764</v>
      </c>
    </row>
    <row r="49" spans="1:7" ht="16.5" thickBot="1"/>
    <row r="50" spans="1:7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3" customFormat="1" ht="16.5">
      <c r="A52" s="110" t="s">
        <v>813</v>
      </c>
      <c r="B52" s="174">
        <f>I10</f>
        <v>792.64</v>
      </c>
      <c r="C52" s="174">
        <v>4</v>
      </c>
      <c r="D52" s="111">
        <f>B52*(C53+C52+C54+C55+C56)/F53*(D47-F67)</f>
        <v>156.17737974146198</v>
      </c>
      <c r="G52" s="171"/>
    </row>
    <row r="53" spans="1:7" ht="17.100000000000001" customHeight="1">
      <c r="A53" s="110" t="s">
        <v>611</v>
      </c>
      <c r="B53" s="54">
        <f>I21</f>
        <v>792.64</v>
      </c>
      <c r="C53" s="174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>
      <c r="A54" s="110" t="s">
        <v>612</v>
      </c>
      <c r="B54" s="54">
        <f>D22</f>
        <v>792.64</v>
      </c>
      <c r="C54" s="174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3" customFormat="1">
      <c r="A55" s="188" t="s">
        <v>812</v>
      </c>
      <c r="B55" s="146">
        <f>D33</f>
        <v>792.64</v>
      </c>
      <c r="C55" s="174">
        <v>4</v>
      </c>
      <c r="D55" s="189">
        <f>B55*(C55+C56)/F53*(D47-F67)</f>
        <v>62.470951896584786</v>
      </c>
      <c r="F55" s="90"/>
    </row>
    <row r="56" spans="1:7" s="173" customFormat="1" ht="16.5" thickBot="1">
      <c r="A56" s="112" t="s">
        <v>811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3" customFormat="1">
      <c r="F57" s="90"/>
    </row>
    <row r="58" spans="1:7">
      <c r="A58" s="6"/>
    </row>
    <row r="59" spans="1:7" ht="16.5" thickBot="1">
      <c r="A59" s="108"/>
    </row>
    <row r="60" spans="1:7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3" customFormat="1">
      <c r="A62" s="110" t="s">
        <v>815</v>
      </c>
      <c r="B62" s="174">
        <f t="shared" si="0"/>
        <v>792.64</v>
      </c>
      <c r="C62" s="174">
        <f t="shared" si="0"/>
        <v>4</v>
      </c>
      <c r="D62" s="111">
        <f>B62*(C62+C63+C64+C65+C66)/F63*(D48-H67)</f>
        <v>191.91392353100866</v>
      </c>
    </row>
    <row r="63" spans="1:7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3" customFormat="1">
      <c r="A65" s="188" t="s">
        <v>814</v>
      </c>
      <c r="B65" s="146">
        <f t="shared" si="0"/>
        <v>792.64</v>
      </c>
      <c r="C65" s="146">
        <f t="shared" si="0"/>
        <v>4</v>
      </c>
      <c r="D65" s="189">
        <f>B65*(C65+C66)/F63*(D48-H67)</f>
        <v>76.765569412403465</v>
      </c>
      <c r="F65" s="90"/>
      <c r="G65" s="173" t="s">
        <v>819</v>
      </c>
      <c r="H65" s="173" t="s">
        <v>820</v>
      </c>
    </row>
    <row r="66" spans="1:11" ht="16.5" thickBot="1">
      <c r="A66" s="112" t="s">
        <v>810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>
      <c r="F67" s="6">
        <f>0.07*G66*D47</f>
        <v>43.697610366810409</v>
      </c>
      <c r="H67" s="6">
        <f>0.07*D48*H66</f>
        <v>43.686056471904003</v>
      </c>
    </row>
    <row r="68" spans="1:11">
      <c r="F68" s="6">
        <f>0.25*D47</f>
        <v>169.32070540000001</v>
      </c>
      <c r="H68" s="6">
        <f>0.25*D48</f>
        <v>205.56209519999999</v>
      </c>
    </row>
    <row r="69" spans="1:11">
      <c r="A69" s="290" t="s">
        <v>633</v>
      </c>
      <c r="B69" s="290"/>
      <c r="C69" s="290"/>
    </row>
    <row r="70" spans="1:11">
      <c r="A70" s="114" t="s">
        <v>635</v>
      </c>
      <c r="B70" s="52">
        <f>38000</f>
        <v>38000</v>
      </c>
      <c r="C70" s="117" t="s">
        <v>638</v>
      </c>
    </row>
    <row r="71" spans="1:11">
      <c r="A71" s="114" t="s">
        <v>636</v>
      </c>
      <c r="B71" s="116">
        <v>34000</v>
      </c>
      <c r="C71" s="89" t="s">
        <v>638</v>
      </c>
    </row>
    <row r="72" spans="1:11">
      <c r="A72" s="54" t="s">
        <v>637</v>
      </c>
      <c r="B72" s="116">
        <v>150</v>
      </c>
      <c r="C72" s="89" t="s">
        <v>638</v>
      </c>
    </row>
    <row r="73" spans="1:11" ht="18.7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3" customFormat="1">
      <c r="A81" s="113" t="s">
        <v>818</v>
      </c>
      <c r="B81" s="174">
        <v>4000</v>
      </c>
      <c r="C81" s="174">
        <v>5.0000000000000001E-3</v>
      </c>
      <c r="D81" s="174">
        <f>(B81+B82+B83+B84+B85)*C81</f>
        <v>100</v>
      </c>
    </row>
    <row r="82" spans="1:4">
      <c r="A82" s="113" t="s">
        <v>586</v>
      </c>
      <c r="B82" s="174">
        <v>4000</v>
      </c>
      <c r="C82" s="174">
        <v>5.0000000000000001E-3</v>
      </c>
      <c r="D82" s="54">
        <f>(B80+B82+B83+B85)*C80</f>
        <v>80</v>
      </c>
    </row>
    <row r="83" spans="1:4">
      <c r="A83" s="113" t="s">
        <v>592</v>
      </c>
      <c r="B83" s="174">
        <v>4000</v>
      </c>
      <c r="C83" s="174">
        <v>5.0000000000000001E-3</v>
      </c>
      <c r="D83" s="54">
        <f>(B82+B83+B85)*C82</f>
        <v>60</v>
      </c>
    </row>
    <row r="84" spans="1:4" s="173" customFormat="1">
      <c r="A84" s="113" t="s">
        <v>816</v>
      </c>
      <c r="B84" s="174">
        <v>4000</v>
      </c>
      <c r="C84" s="174">
        <v>5.0000000000000001E-3</v>
      </c>
      <c r="D84" s="54">
        <f>(B83+B85)*C83</f>
        <v>40</v>
      </c>
    </row>
    <row r="85" spans="1:4">
      <c r="A85" s="113" t="s">
        <v>817</v>
      </c>
      <c r="B85" s="54">
        <v>4000</v>
      </c>
      <c r="C85" s="54">
        <v>5.0000000000000001E-3</v>
      </c>
      <c r="D85" s="54">
        <f>B85*C85</f>
        <v>20</v>
      </c>
    </row>
    <row r="88" spans="1:4">
      <c r="A88" s="55" t="s">
        <v>677</v>
      </c>
    </row>
    <row r="89" spans="1:4" ht="18.75">
      <c r="A89" s="114" t="s">
        <v>678</v>
      </c>
      <c r="B89" s="54" t="s">
        <v>679</v>
      </c>
      <c r="C89" s="54" t="s">
        <v>680</v>
      </c>
    </row>
    <row r="90" spans="1:4">
      <c r="A90" s="114">
        <v>20</v>
      </c>
      <c r="B90" s="54">
        <v>50</v>
      </c>
      <c r="C90" s="54">
        <f t="shared" ref="C90:C107" si="2">B90*A90</f>
        <v>1000</v>
      </c>
    </row>
    <row r="91" spans="1:4">
      <c r="A91" s="114">
        <v>20</v>
      </c>
      <c r="B91" s="54">
        <v>80</v>
      </c>
      <c r="C91" s="54">
        <f t="shared" si="2"/>
        <v>1600</v>
      </c>
    </row>
    <row r="92" spans="1:4">
      <c r="A92" s="114">
        <v>20</v>
      </c>
      <c r="B92" s="54">
        <v>100</v>
      </c>
      <c r="C92" s="54">
        <f t="shared" si="2"/>
        <v>2000</v>
      </c>
      <c r="D92" s="153"/>
    </row>
    <row r="93" spans="1:4">
      <c r="A93" s="114">
        <v>30</v>
      </c>
      <c r="B93" s="54">
        <v>80</v>
      </c>
      <c r="C93" s="54">
        <f t="shared" si="2"/>
        <v>2400</v>
      </c>
      <c r="D93" s="153"/>
    </row>
    <row r="94" spans="1:4">
      <c r="A94" s="114">
        <v>30</v>
      </c>
      <c r="B94" s="54">
        <v>100</v>
      </c>
      <c r="C94" s="54">
        <f t="shared" si="2"/>
        <v>3000</v>
      </c>
      <c r="D94" s="153"/>
    </row>
    <row r="95" spans="1:4">
      <c r="A95" s="114">
        <v>30</v>
      </c>
      <c r="B95" s="54">
        <v>120</v>
      </c>
      <c r="C95" s="54">
        <f t="shared" si="2"/>
        <v>3600</v>
      </c>
      <c r="D95" s="153"/>
    </row>
    <row r="96" spans="1:4">
      <c r="A96" s="151">
        <v>40</v>
      </c>
      <c r="B96" s="152">
        <v>100</v>
      </c>
      <c r="C96" s="152">
        <f t="shared" si="2"/>
        <v>4000</v>
      </c>
      <c r="D96" s="153"/>
    </row>
    <row r="97" spans="1:4">
      <c r="A97" s="114">
        <v>40</v>
      </c>
      <c r="B97" s="54">
        <v>120</v>
      </c>
      <c r="C97" s="54">
        <f t="shared" si="2"/>
        <v>4800</v>
      </c>
      <c r="D97" s="153"/>
    </row>
    <row r="98" spans="1:4">
      <c r="A98" s="151">
        <v>40</v>
      </c>
      <c r="B98" s="152">
        <v>150</v>
      </c>
      <c r="C98" s="152">
        <f t="shared" si="2"/>
        <v>6000</v>
      </c>
      <c r="D98" s="153"/>
    </row>
    <row r="99" spans="1:4">
      <c r="A99" s="114">
        <v>50</v>
      </c>
      <c r="B99" s="54">
        <v>130</v>
      </c>
      <c r="C99" s="54">
        <f t="shared" si="2"/>
        <v>6500</v>
      </c>
      <c r="D99" s="153"/>
    </row>
    <row r="100" spans="1:4">
      <c r="A100" s="114">
        <v>50</v>
      </c>
      <c r="B100" s="54">
        <v>140</v>
      </c>
      <c r="C100" s="54">
        <f t="shared" si="2"/>
        <v>7000</v>
      </c>
      <c r="D100" s="153"/>
    </row>
    <row r="101" spans="1:4">
      <c r="A101" s="114">
        <v>50</v>
      </c>
      <c r="B101" s="54">
        <v>150</v>
      </c>
      <c r="C101" s="54">
        <f t="shared" si="2"/>
        <v>7500</v>
      </c>
      <c r="D101" s="153"/>
    </row>
    <row r="102" spans="1:4">
      <c r="A102" s="114">
        <v>60</v>
      </c>
      <c r="B102" s="54">
        <v>140</v>
      </c>
      <c r="C102" s="54">
        <f t="shared" si="2"/>
        <v>8400</v>
      </c>
      <c r="D102" s="153"/>
    </row>
    <row r="103" spans="1:4">
      <c r="A103" s="114">
        <v>60</v>
      </c>
      <c r="B103" s="54">
        <v>150</v>
      </c>
      <c r="C103" s="54">
        <f t="shared" si="2"/>
        <v>9000</v>
      </c>
      <c r="D103" s="153"/>
    </row>
    <row r="104" spans="1:4">
      <c r="A104" s="114">
        <v>60</v>
      </c>
      <c r="B104" s="54">
        <v>160</v>
      </c>
      <c r="C104" s="54">
        <f t="shared" si="2"/>
        <v>9600</v>
      </c>
    </row>
    <row r="105" spans="1:4">
      <c r="A105" s="114">
        <v>70</v>
      </c>
      <c r="B105" s="54">
        <v>140</v>
      </c>
      <c r="C105" s="54">
        <f t="shared" si="2"/>
        <v>9800</v>
      </c>
    </row>
    <row r="106" spans="1:4">
      <c r="A106" s="114">
        <v>70</v>
      </c>
      <c r="B106" s="54">
        <v>150</v>
      </c>
      <c r="C106" s="54">
        <f t="shared" si="2"/>
        <v>10500</v>
      </c>
    </row>
    <row r="107" spans="1:4">
      <c r="A107" s="114">
        <v>70</v>
      </c>
      <c r="B107" s="54">
        <v>160</v>
      </c>
      <c r="C107" s="54">
        <f t="shared" si="2"/>
        <v>11200</v>
      </c>
    </row>
    <row r="108" spans="1:4">
      <c r="A108" s="114">
        <v>80</v>
      </c>
      <c r="B108" s="54">
        <v>160</v>
      </c>
      <c r="C108" s="54">
        <f t="shared" ref="C108:C113" si="3">B108*A108</f>
        <v>12800</v>
      </c>
    </row>
    <row r="109" spans="1:4">
      <c r="A109" s="114">
        <v>80</v>
      </c>
      <c r="B109" s="54">
        <v>180</v>
      </c>
      <c r="C109" s="54">
        <f t="shared" si="3"/>
        <v>14400</v>
      </c>
    </row>
    <row r="110" spans="1:4">
      <c r="A110" s="114">
        <v>80</v>
      </c>
      <c r="B110" s="54">
        <v>200</v>
      </c>
      <c r="C110" s="54">
        <f t="shared" si="3"/>
        <v>16000</v>
      </c>
    </row>
    <row r="111" spans="1:4">
      <c r="A111" s="114">
        <v>90</v>
      </c>
      <c r="B111" s="54">
        <v>200</v>
      </c>
      <c r="C111" s="54">
        <f t="shared" si="3"/>
        <v>18000</v>
      </c>
    </row>
    <row r="112" spans="1:4">
      <c r="A112" s="114">
        <v>90</v>
      </c>
      <c r="B112" s="54">
        <v>220</v>
      </c>
      <c r="C112" s="54">
        <f t="shared" si="3"/>
        <v>19800</v>
      </c>
    </row>
    <row r="113" spans="1:9">
      <c r="A113" s="114">
        <v>90</v>
      </c>
      <c r="B113" s="54">
        <v>240</v>
      </c>
      <c r="C113" s="54">
        <f t="shared" si="3"/>
        <v>21600</v>
      </c>
    </row>
    <row r="114" spans="1:9">
      <c r="A114" s="147"/>
      <c r="B114" s="62"/>
      <c r="C114" s="62"/>
    </row>
    <row r="115" spans="1:9">
      <c r="A115" s="147"/>
      <c r="B115" s="62"/>
      <c r="C115" s="62"/>
    </row>
    <row r="116" spans="1:9">
      <c r="A116" s="147"/>
      <c r="B116" s="62"/>
      <c r="C116" s="62"/>
    </row>
    <row r="117" spans="1:9">
      <c r="A117" s="147"/>
      <c r="B117" s="62"/>
      <c r="C117" s="62"/>
    </row>
    <row r="118" spans="1:9">
      <c r="A118" s="147"/>
      <c r="B118" s="62"/>
      <c r="C118" s="62"/>
    </row>
    <row r="119" spans="1:9">
      <c r="A119" s="147"/>
      <c r="B119" s="62"/>
      <c r="C119" s="62"/>
    </row>
    <row r="120" spans="1:9" s="55" customFormat="1" ht="52.5" customHeight="1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>
      <c r="A125" s="147"/>
      <c r="B125" s="62"/>
      <c r="C125" s="62"/>
    </row>
    <row r="126" spans="1:9" ht="19.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>
      <c r="A131" s="147"/>
      <c r="B131" s="62"/>
      <c r="C131" s="62"/>
    </row>
    <row r="132" spans="1:5">
      <c r="A132" s="147"/>
      <c r="B132" s="62"/>
      <c r="C132" s="62"/>
    </row>
    <row r="133" spans="1: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2"/>
  <sheetViews>
    <sheetView tabSelected="1" zoomScale="84" zoomScaleNormal="84" workbookViewId="0">
      <selection activeCell="B17" sqref="B17"/>
    </sheetView>
  </sheetViews>
  <sheetFormatPr defaultColWidth="9" defaultRowHeight="15.7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6" width="7.625" style="6" customWidth="1"/>
    <col min="7" max="7" width="11.125" style="6" customWidth="1"/>
    <col min="8" max="8" width="27.125" style="173" customWidth="1"/>
    <col min="9" max="9" width="13.875" style="173" customWidth="1"/>
    <col min="10" max="10" width="9" style="173"/>
    <col min="11" max="11" width="19.875" style="173" customWidth="1"/>
    <col min="12" max="13" width="9" style="173"/>
    <col min="14" max="14" width="14.75" style="6" customWidth="1"/>
    <col min="15" max="15" width="25.375" style="6" customWidth="1"/>
    <col min="16" max="16" width="20.75" style="6" customWidth="1"/>
    <col min="17" max="17" width="15.375" style="6" customWidth="1"/>
    <col min="18" max="18" width="24.375" style="6" customWidth="1"/>
    <col min="19" max="19" width="15" style="6" bestFit="1" customWidth="1"/>
    <col min="20" max="20" width="8.75" style="154" customWidth="1"/>
    <col min="21" max="21" width="7.125" style="6" customWidth="1"/>
    <col min="22" max="22" width="10.25" style="6" customWidth="1"/>
    <col min="23" max="23" width="6.625" style="6" customWidth="1"/>
    <col min="24" max="24" width="4.75" style="6" customWidth="1"/>
    <col min="25" max="25" width="4.25" style="6" bestFit="1" customWidth="1"/>
    <col min="26" max="26" width="4.5" style="6" customWidth="1"/>
    <col min="27" max="27" width="4.25" style="6" bestFit="1" customWidth="1"/>
    <col min="28" max="16384" width="9" style="6"/>
  </cols>
  <sheetData>
    <row r="1" spans="1:32" s="55" customFormat="1" ht="33.75" customHeight="1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  <c r="G1" s="234" t="s">
        <v>1036</v>
      </c>
      <c r="H1" s="216" t="s">
        <v>999</v>
      </c>
      <c r="K1" s="217" t="s">
        <v>1052</v>
      </c>
    </row>
    <row r="2" spans="1:32" ht="15.75" customHeight="1">
      <c r="A2" s="54" t="str">
        <f>WEIGHT!A121</f>
        <v>RF</v>
      </c>
      <c r="B2" s="150">
        <v>0</v>
      </c>
      <c r="C2" s="150">
        <f>B2</f>
        <v>0</v>
      </c>
      <c r="D2" s="150">
        <f t="shared" ref="D2:D3" si="0">C2/4</f>
        <v>0</v>
      </c>
      <c r="E2" s="150">
        <f t="shared" ref="E2:E3" si="1">D2/COS(G2)/2</f>
        <v>0</v>
      </c>
      <c r="G2" s="235">
        <f t="shared" ref="G2:G7" si="2">ATAN(4/3.5)</f>
        <v>0.85196632717327203</v>
      </c>
      <c r="H2" s="216" t="s">
        <v>1001</v>
      </c>
      <c r="I2" s="176"/>
      <c r="J2" s="176"/>
      <c r="K2" s="176" t="s">
        <v>768</v>
      </c>
      <c r="L2" s="176" t="s">
        <v>1012</v>
      </c>
      <c r="M2" s="176">
        <f>1.3</f>
        <v>1.3</v>
      </c>
    </row>
    <row r="3" spans="1:32" s="173" customFormat="1" ht="16.5">
      <c r="A3" s="174" t="s">
        <v>815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235">
        <f t="shared" si="2"/>
        <v>0.85196632717327203</v>
      </c>
      <c r="H3" s="235">
        <f>8*(0.005)/0.02</f>
        <v>2</v>
      </c>
      <c r="I3" s="203" t="s">
        <v>1000</v>
      </c>
      <c r="J3" s="176"/>
      <c r="K3" s="176" t="s">
        <v>939</v>
      </c>
      <c r="L3" s="176" t="s">
        <v>1013</v>
      </c>
      <c r="M3" s="176">
        <v>1.2</v>
      </c>
    </row>
    <row r="4" spans="1:32" ht="16.5">
      <c r="A4" s="54" t="str">
        <f>WEIGHT!A122</f>
        <v>4F</v>
      </c>
      <c r="B4" s="237">
        <v>219.83</v>
      </c>
      <c r="C4" s="90">
        <f>C3+B4</f>
        <v>219.83</v>
      </c>
      <c r="D4" s="150">
        <f>C4/4</f>
        <v>54.957500000000003</v>
      </c>
      <c r="E4" s="173">
        <v>41.729017035954605</v>
      </c>
      <c r="F4" s="173">
        <v>41.729017035954605</v>
      </c>
      <c r="G4" s="235">
        <f t="shared" si="2"/>
        <v>0.85196632717327203</v>
      </c>
      <c r="H4" s="235">
        <f>8*(0.005)/0.08</f>
        <v>0.5</v>
      </c>
      <c r="I4" s="176" t="s">
        <v>998</v>
      </c>
      <c r="J4" s="176"/>
      <c r="K4" s="176" t="s">
        <v>940</v>
      </c>
      <c r="L4" s="176" t="s">
        <v>770</v>
      </c>
      <c r="M4" s="176">
        <v>1.1000000000000001</v>
      </c>
    </row>
    <row r="5" spans="1:32" ht="16.5">
      <c r="A5" s="54" t="str">
        <f>WEIGHT!A123</f>
        <v>3F</v>
      </c>
      <c r="B5" s="237">
        <v>180.6</v>
      </c>
      <c r="C5" s="150">
        <f>C4+B5</f>
        <v>400.43</v>
      </c>
      <c r="D5" s="150">
        <f t="shared" ref="D5:D7" si="3">C5/4</f>
        <v>100.1075</v>
      </c>
      <c r="E5" s="173">
        <v>76.011237282023842</v>
      </c>
      <c r="F5" s="173">
        <v>76.011237282023842</v>
      </c>
      <c r="G5" s="235">
        <f t="shared" si="2"/>
        <v>0.85196632717327203</v>
      </c>
      <c r="H5" s="236" t="s">
        <v>1014</v>
      </c>
      <c r="I5" s="236">
        <v>100</v>
      </c>
      <c r="S5" s="6" t="s">
        <v>1008</v>
      </c>
      <c r="T5" s="308" t="s">
        <v>1009</v>
      </c>
      <c r="U5" s="308"/>
    </row>
    <row r="6" spans="1:32" s="173" customFormat="1" ht="16.5">
      <c r="A6" s="174" t="s">
        <v>821</v>
      </c>
      <c r="B6" s="237">
        <v>120.4</v>
      </c>
      <c r="C6" s="150">
        <f>C5+B6</f>
        <v>520.83000000000004</v>
      </c>
      <c r="D6" s="150">
        <f t="shared" si="3"/>
        <v>130.20750000000001</v>
      </c>
      <c r="E6" s="173">
        <v>98.866050779403352</v>
      </c>
      <c r="F6" s="173">
        <v>98.866050779403352</v>
      </c>
      <c r="G6" s="235">
        <f t="shared" si="2"/>
        <v>0.85196632717327203</v>
      </c>
      <c r="K6" s="173" t="s">
        <v>692</v>
      </c>
      <c r="L6" s="173">
        <v>200</v>
      </c>
      <c r="M6" s="173" t="s">
        <v>766</v>
      </c>
      <c r="N6" s="173">
        <f>L6*(10^9)/9.81/1000/100/100</f>
        <v>2038.7359836901121</v>
      </c>
      <c r="O6" s="173" t="s">
        <v>718</v>
      </c>
      <c r="S6" s="173" t="s">
        <v>1010</v>
      </c>
      <c r="T6" s="308" t="s">
        <v>1011</v>
      </c>
      <c r="U6" s="308"/>
    </row>
    <row r="7" spans="1:32" ht="16.5">
      <c r="A7" s="54" t="str">
        <f>WEIGHT!A124</f>
        <v>1F</v>
      </c>
      <c r="B7" s="237">
        <v>60.2</v>
      </c>
      <c r="C7" s="150">
        <f>C6+B7</f>
        <v>581.03000000000009</v>
      </c>
      <c r="D7" s="150">
        <f t="shared" si="3"/>
        <v>145.25750000000002</v>
      </c>
      <c r="E7" s="173">
        <v>110.2934575280931</v>
      </c>
      <c r="F7" s="173">
        <v>110.2934575280931</v>
      </c>
      <c r="G7" s="235">
        <f t="shared" si="2"/>
        <v>0.85196632717327203</v>
      </c>
    </row>
    <row r="8" spans="1:32" s="173" customFormat="1">
      <c r="A8" s="62"/>
      <c r="B8" s="223"/>
      <c r="C8" s="223"/>
      <c r="D8" s="223"/>
      <c r="E8" s="223"/>
      <c r="G8" s="176"/>
    </row>
    <row r="9" spans="1:32" s="173" customFormat="1">
      <c r="A9" s="62"/>
      <c r="B9" s="223"/>
      <c r="C9" s="223"/>
      <c r="D9" s="223"/>
      <c r="E9" s="223"/>
      <c r="G9" s="176"/>
      <c r="R9" s="233" t="s">
        <v>1040</v>
      </c>
    </row>
    <row r="10" spans="1:32" ht="16.5" customHeight="1">
      <c r="B10" s="223"/>
      <c r="R10" s="230">
        <f>B29/B30*1.3</f>
        <v>170.20536398467434</v>
      </c>
      <c r="U10" s="309" t="s">
        <v>1038</v>
      </c>
      <c r="V10" s="309"/>
    </row>
    <row r="11" spans="1:32" ht="32.25" thickBot="1">
      <c r="N11" s="41" t="s">
        <v>728</v>
      </c>
      <c r="P11" s="55" t="s">
        <v>1006</v>
      </c>
      <c r="Q11" s="6" t="s">
        <v>1035</v>
      </c>
      <c r="R11" s="230">
        <f>E29/E30*1.3</f>
        <v>87.676801801801801</v>
      </c>
      <c r="S11" s="6" t="s">
        <v>1037</v>
      </c>
      <c r="U11" s="309"/>
      <c r="V11" s="309"/>
    </row>
    <row r="12" spans="1:32" s="55" customFormat="1" ht="52.5" customHeight="1">
      <c r="A12" s="302" t="s">
        <v>1002</v>
      </c>
      <c r="B12" s="303"/>
      <c r="C12" s="304"/>
      <c r="D12" s="302" t="s">
        <v>1003</v>
      </c>
      <c r="E12" s="303"/>
      <c r="F12" s="304"/>
      <c r="G12" s="302" t="s">
        <v>1004</v>
      </c>
      <c r="H12" s="303"/>
      <c r="I12" s="304"/>
      <c r="N12" s="114" t="str">
        <f>A1</f>
        <v>Story</v>
      </c>
      <c r="O12" s="114" t="str">
        <f t="shared" ref="O12:O18" si="4">E1</f>
        <v>axial force of brace (Tf)</v>
      </c>
      <c r="P12" s="114" t="s">
        <v>723</v>
      </c>
      <c r="Q12" s="114" t="s">
        <v>1007</v>
      </c>
      <c r="R12" s="224" t="s">
        <v>1025</v>
      </c>
      <c r="S12" s="114" t="s">
        <v>724</v>
      </c>
      <c r="T12" s="231" t="s">
        <v>725</v>
      </c>
      <c r="U12" s="310" t="s">
        <v>1039</v>
      </c>
      <c r="V12" s="311"/>
      <c r="W12" s="305" t="s">
        <v>726</v>
      </c>
      <c r="X12" s="306"/>
      <c r="Y12" s="306"/>
      <c r="Z12" s="306"/>
      <c r="AA12" s="306"/>
      <c r="AB12" s="306"/>
      <c r="AC12" s="306"/>
      <c r="AD12" s="307"/>
    </row>
    <row r="13" spans="1:32">
      <c r="A13" s="156" t="s">
        <v>698</v>
      </c>
      <c r="B13" s="157">
        <v>400</v>
      </c>
      <c r="C13" s="158" t="s">
        <v>699</v>
      </c>
      <c r="D13" s="156" t="s">
        <v>698</v>
      </c>
      <c r="E13" s="157">
        <v>400</v>
      </c>
      <c r="F13" s="158" t="s">
        <v>699</v>
      </c>
      <c r="G13" s="156" t="s">
        <v>698</v>
      </c>
      <c r="H13" s="157">
        <v>0</v>
      </c>
      <c r="I13" s="158" t="s">
        <v>699</v>
      </c>
      <c r="J13" s="176"/>
      <c r="L13" s="176"/>
      <c r="N13" s="155" t="str">
        <f>A2</f>
        <v>RF</v>
      </c>
      <c r="O13" s="150">
        <f t="shared" si="4"/>
        <v>0</v>
      </c>
      <c r="P13" s="150">
        <f t="shared" ref="P13:P18" si="5">O13*SIN(G2)*10/11</f>
        <v>0</v>
      </c>
      <c r="Q13" s="6">
        <f>0.9*H30</f>
        <v>0</v>
      </c>
      <c r="R13" s="224" t="e">
        <f t="shared" ref="R13:R18" si="6">IF(AND(Q13&gt;P13,T13="shear"),"OK","NG")</f>
        <v>#DIV/0!</v>
      </c>
      <c r="S13" s="155">
        <f>I5</f>
        <v>100</v>
      </c>
      <c r="T13" s="6" t="e">
        <f>IF(S13&lt;1.6*H29/H30,"shear",IF(S13&gt;2.6*H29/H30,"flexural","combined"))</f>
        <v>#DIV/0!</v>
      </c>
      <c r="U13" s="199" t="e">
        <f>80*SQRT(H23/H21)/10/SQRT(H17)</f>
        <v>#DIV/0!</v>
      </c>
      <c r="V13" s="224" t="e">
        <f>IF(U13&gt;S13,"OK","NG")</f>
        <v>#DIV/0!</v>
      </c>
      <c r="W13" s="169" t="s">
        <v>739</v>
      </c>
      <c r="X13" s="157">
        <v>0</v>
      </c>
      <c r="Y13" s="116" t="s">
        <v>727</v>
      </c>
      <c r="Z13" s="157">
        <v>0</v>
      </c>
      <c r="AA13" s="116" t="s">
        <v>727</v>
      </c>
      <c r="AB13" s="157">
        <v>0</v>
      </c>
      <c r="AC13" s="116" t="s">
        <v>727</v>
      </c>
      <c r="AD13" s="157">
        <v>0</v>
      </c>
    </row>
    <row r="14" spans="1:32">
      <c r="A14" s="156" t="s">
        <v>700</v>
      </c>
      <c r="B14" s="157">
        <v>300</v>
      </c>
      <c r="C14" s="158" t="s">
        <v>699</v>
      </c>
      <c r="D14" s="156" t="s">
        <v>700</v>
      </c>
      <c r="E14" s="157">
        <v>200</v>
      </c>
      <c r="F14" s="158" t="s">
        <v>699</v>
      </c>
      <c r="G14" s="156" t="s">
        <v>700</v>
      </c>
      <c r="H14" s="157">
        <v>0</v>
      </c>
      <c r="I14" s="158" t="s">
        <v>699</v>
      </c>
      <c r="J14" s="176"/>
      <c r="L14" s="176"/>
      <c r="N14" s="174" t="s">
        <v>822</v>
      </c>
      <c r="O14" s="150">
        <f t="shared" si="4"/>
        <v>0</v>
      </c>
      <c r="P14" s="150">
        <f t="shared" si="5"/>
        <v>0</v>
      </c>
      <c r="Q14" s="150">
        <f>Q13</f>
        <v>0</v>
      </c>
      <c r="R14" s="224" t="e">
        <f t="shared" si="6"/>
        <v>#DIV/0!</v>
      </c>
      <c r="S14" s="174">
        <f>I5</f>
        <v>100</v>
      </c>
      <c r="T14" s="169" t="e">
        <f>IF(S14&lt;1.6*H29/H30,"shear",IF(S14&gt;2.6*H29/H30,"flexural","combined"))</f>
        <v>#DIV/0!</v>
      </c>
      <c r="U14" s="199" t="e">
        <f>80*SQRT(H23/H21)/10/SQRT(H17)</f>
        <v>#DIV/0!</v>
      </c>
      <c r="V14" s="224" t="e">
        <f t="shared" ref="V14:V18" si="7">IF(U14&gt;S14,"OK","NG")</f>
        <v>#DIV/0!</v>
      </c>
      <c r="W14" s="169" t="s">
        <v>739</v>
      </c>
      <c r="X14" s="157">
        <f>X13</f>
        <v>0</v>
      </c>
      <c r="Y14" s="116" t="s">
        <v>727</v>
      </c>
      <c r="Z14" s="157">
        <f>Z13</f>
        <v>0</v>
      </c>
      <c r="AA14" s="116" t="s">
        <v>727</v>
      </c>
      <c r="AB14" s="157">
        <f>AB13</f>
        <v>0</v>
      </c>
      <c r="AC14" s="116" t="s">
        <v>727</v>
      </c>
      <c r="AD14" s="157">
        <f>AD13</f>
        <v>0</v>
      </c>
    </row>
    <row r="15" spans="1:32">
      <c r="A15" s="156" t="s">
        <v>701</v>
      </c>
      <c r="B15" s="157">
        <v>12</v>
      </c>
      <c r="C15" s="158" t="s">
        <v>699</v>
      </c>
      <c r="D15" s="156" t="s">
        <v>701</v>
      </c>
      <c r="E15" s="157">
        <v>10</v>
      </c>
      <c r="F15" s="158" t="s">
        <v>699</v>
      </c>
      <c r="G15" s="156" t="s">
        <v>701</v>
      </c>
      <c r="H15" s="157">
        <v>0</v>
      </c>
      <c r="I15" s="158" t="s">
        <v>699</v>
      </c>
      <c r="J15" s="176"/>
      <c r="L15" s="176"/>
      <c r="N15" s="155" t="str">
        <f>A4</f>
        <v>4F</v>
      </c>
      <c r="O15" s="90">
        <f t="shared" si="4"/>
        <v>41.729017035954605</v>
      </c>
      <c r="P15" s="150">
        <f t="shared" si="5"/>
        <v>28.54935064935065</v>
      </c>
      <c r="Q15" s="150">
        <f>0.9*E30</f>
        <v>65.934000000000012</v>
      </c>
      <c r="R15" s="224" t="str">
        <f t="shared" si="6"/>
        <v>OK</v>
      </c>
      <c r="S15" s="252">
        <f>I5</f>
        <v>100</v>
      </c>
      <c r="T15" s="218" t="str">
        <f>IF(S15&lt;1.6*E29/E30,"shear",IF(S15&gt;2.6*E29/E30,"flexural","combined"))</f>
        <v>shear</v>
      </c>
      <c r="U15" s="199">
        <f>80*SQRT(E23/E21)/10/SQRT(E17)</f>
        <v>200.12284054271083</v>
      </c>
      <c r="V15" s="224" t="str">
        <f t="shared" si="7"/>
        <v>OK</v>
      </c>
      <c r="W15" s="169" t="s">
        <v>739</v>
      </c>
      <c r="X15" s="157">
        <f>E13</f>
        <v>400</v>
      </c>
      <c r="Y15" s="116" t="s">
        <v>727</v>
      </c>
      <c r="Z15" s="157">
        <f>E14</f>
        <v>200</v>
      </c>
      <c r="AA15" s="116" t="s">
        <v>727</v>
      </c>
      <c r="AB15" s="157">
        <f>E15</f>
        <v>10</v>
      </c>
      <c r="AC15" s="116" t="s">
        <v>727</v>
      </c>
      <c r="AD15" s="157">
        <f>E16</f>
        <v>15</v>
      </c>
      <c r="AF15" s="6">
        <f>P15/Q15</f>
        <v>0.43299891784740263</v>
      </c>
    </row>
    <row r="16" spans="1:32">
      <c r="A16" s="156" t="s">
        <v>702</v>
      </c>
      <c r="B16" s="157">
        <v>26</v>
      </c>
      <c r="C16" s="158" t="s">
        <v>699</v>
      </c>
      <c r="D16" s="156" t="s">
        <v>702</v>
      </c>
      <c r="E16" s="157">
        <v>15</v>
      </c>
      <c r="F16" s="158" t="s">
        <v>699</v>
      </c>
      <c r="G16" s="156" t="s">
        <v>702</v>
      </c>
      <c r="H16" s="157">
        <v>0</v>
      </c>
      <c r="I16" s="158" t="s">
        <v>699</v>
      </c>
      <c r="J16" s="176"/>
      <c r="L16" s="176"/>
      <c r="N16" s="155" t="str">
        <f>A5</f>
        <v>3F</v>
      </c>
      <c r="O16" s="150">
        <f t="shared" si="4"/>
        <v>76.011237282023842</v>
      </c>
      <c r="P16" s="150">
        <f t="shared" si="5"/>
        <v>52.003896103896096</v>
      </c>
      <c r="Q16" s="150">
        <f>Q15</f>
        <v>65.934000000000012</v>
      </c>
      <c r="R16" s="224" t="str">
        <f t="shared" si="6"/>
        <v>OK</v>
      </c>
      <c r="S16" s="252">
        <f>I5</f>
        <v>100</v>
      </c>
      <c r="T16" s="218" t="str">
        <f>IF(S16&lt;1.6*E29/E30,"shear",IF(S16&gt;2.6*E29/E30,"flexural","combined"))</f>
        <v>shear</v>
      </c>
      <c r="U16" s="199">
        <f>80*SQRT(E23/E21)/10/SQRT(E17)</f>
        <v>200.12284054271083</v>
      </c>
      <c r="V16" s="224" t="str">
        <f t="shared" si="7"/>
        <v>OK</v>
      </c>
      <c r="W16" s="169" t="s">
        <v>739</v>
      </c>
      <c r="X16" s="157">
        <f t="shared" ref="X16:AD16" si="8">X15</f>
        <v>400</v>
      </c>
      <c r="Y16" s="116" t="str">
        <f t="shared" si="8"/>
        <v>x</v>
      </c>
      <c r="Z16" s="157">
        <f t="shared" si="8"/>
        <v>200</v>
      </c>
      <c r="AA16" s="116" t="str">
        <f t="shared" si="8"/>
        <v>x</v>
      </c>
      <c r="AB16" s="157">
        <f t="shared" si="8"/>
        <v>10</v>
      </c>
      <c r="AC16" s="116" t="str">
        <f t="shared" si="8"/>
        <v>x</v>
      </c>
      <c r="AD16" s="157">
        <f t="shared" si="8"/>
        <v>15</v>
      </c>
      <c r="AF16" s="173">
        <f t="shared" ref="AF16:AF18" si="9">P16/Q16</f>
        <v>0.78872654630230365</v>
      </c>
    </row>
    <row r="17" spans="1:32">
      <c r="A17" s="156" t="s">
        <v>703</v>
      </c>
      <c r="B17" s="62">
        <v>3.3</v>
      </c>
      <c r="C17" s="158" t="s">
        <v>718</v>
      </c>
      <c r="D17" s="156" t="s">
        <v>703</v>
      </c>
      <c r="E17" s="62">
        <v>3.3</v>
      </c>
      <c r="F17" s="158" t="s">
        <v>718</v>
      </c>
      <c r="G17" s="156" t="s">
        <v>703</v>
      </c>
      <c r="H17" s="62">
        <v>3.52</v>
      </c>
      <c r="I17" s="158" t="s">
        <v>718</v>
      </c>
      <c r="N17" s="174" t="s">
        <v>812</v>
      </c>
      <c r="O17" s="150">
        <f t="shared" si="4"/>
        <v>98.866050779403352</v>
      </c>
      <c r="P17" s="150">
        <f t="shared" si="5"/>
        <v>67.640259740259751</v>
      </c>
      <c r="Q17" s="150">
        <f>0.9*B30</f>
        <v>74.416319999999999</v>
      </c>
      <c r="R17" s="224" t="str">
        <f t="shared" si="6"/>
        <v>OK</v>
      </c>
      <c r="S17" s="252">
        <f>I5</f>
        <v>100</v>
      </c>
      <c r="T17" s="218" t="str">
        <f>IF(S17&lt;1.6*B29/B30,"shear",IF(S17&gt;2.6*B29/B30,"flexural","combined"))</f>
        <v>shear</v>
      </c>
      <c r="U17" s="199">
        <f>80*SQRT(B23/B21)/10/SQRT(B17)</f>
        <v>338.80491904424736</v>
      </c>
      <c r="V17" s="224" t="str">
        <f t="shared" si="7"/>
        <v>OK</v>
      </c>
      <c r="W17" s="169" t="s">
        <v>739</v>
      </c>
      <c r="X17" s="157">
        <f>B13</f>
        <v>400</v>
      </c>
      <c r="Y17" s="116" t="str">
        <f>Y16</f>
        <v>x</v>
      </c>
      <c r="Z17" s="157">
        <f>B14</f>
        <v>300</v>
      </c>
      <c r="AA17" s="116" t="str">
        <f>AA16</f>
        <v>x</v>
      </c>
      <c r="AB17" s="157">
        <f>B15</f>
        <v>12</v>
      </c>
      <c r="AC17" s="116" t="str">
        <f>AC16</f>
        <v>x</v>
      </c>
      <c r="AD17" s="157">
        <f>B16</f>
        <v>26</v>
      </c>
      <c r="AF17" s="173">
        <f t="shared" si="9"/>
        <v>0.90894389483731197</v>
      </c>
    </row>
    <row r="18" spans="1:32" ht="16.5">
      <c r="A18" s="159"/>
      <c r="B18" s="160"/>
      <c r="C18" s="161"/>
      <c r="D18" s="156"/>
      <c r="E18" s="62"/>
      <c r="F18" s="158"/>
      <c r="G18" s="156"/>
      <c r="H18" s="62"/>
      <c r="I18" s="158"/>
      <c r="N18" s="155" t="str">
        <f>A7</f>
        <v>1F</v>
      </c>
      <c r="O18" s="150">
        <f t="shared" si="4"/>
        <v>110.2934575280931</v>
      </c>
      <c r="P18" s="150">
        <f t="shared" si="5"/>
        <v>75.458441558441564</v>
      </c>
      <c r="Q18" s="150">
        <f>Q17</f>
        <v>74.416319999999999</v>
      </c>
      <c r="R18" s="224" t="str">
        <f t="shared" si="6"/>
        <v>NG</v>
      </c>
      <c r="S18" s="252">
        <f>I5</f>
        <v>100</v>
      </c>
      <c r="T18" s="218" t="str">
        <f>IF(S18&lt;1.6*B29/B30,"shear",IF(S18&gt;2.6*B29/B30,"flexural","combined"))</f>
        <v>shear</v>
      </c>
      <c r="U18" s="199">
        <f>80*SQRT(B23/B21)/10/SQRT(B17)</f>
        <v>338.80491904424736</v>
      </c>
      <c r="V18" s="224" t="str">
        <f t="shared" si="7"/>
        <v>OK</v>
      </c>
      <c r="W18" s="169" t="s">
        <v>739</v>
      </c>
      <c r="X18" s="157">
        <f>X17</f>
        <v>400</v>
      </c>
      <c r="Y18" s="116" t="str">
        <f>Y17</f>
        <v>x</v>
      </c>
      <c r="Z18" s="157">
        <f>Z17</f>
        <v>300</v>
      </c>
      <c r="AA18" s="116" t="str">
        <f>AA17</f>
        <v>x</v>
      </c>
      <c r="AB18" s="157">
        <f>AB17</f>
        <v>12</v>
      </c>
      <c r="AC18" s="116" t="str">
        <f>AC17</f>
        <v>x</v>
      </c>
      <c r="AD18" s="157">
        <f>AD17</f>
        <v>26</v>
      </c>
      <c r="AF18" s="173">
        <f t="shared" si="9"/>
        <v>1.0140039383624662</v>
      </c>
    </row>
    <row r="19" spans="1:32" ht="16.5">
      <c r="A19" s="162" t="s">
        <v>704</v>
      </c>
      <c r="B19" s="160"/>
      <c r="C19" s="161"/>
      <c r="D19" s="162" t="s">
        <v>704</v>
      </c>
      <c r="E19" s="160"/>
      <c r="F19" s="161"/>
      <c r="G19" s="162" t="s">
        <v>704</v>
      </c>
      <c r="H19" s="160"/>
      <c r="I19" s="161"/>
      <c r="AB19" s="154"/>
    </row>
    <row r="20" spans="1:32">
      <c r="A20" s="163" t="s">
        <v>705</v>
      </c>
      <c r="B20" s="155"/>
      <c r="C20" s="93"/>
      <c r="D20" s="163" t="s">
        <v>705</v>
      </c>
      <c r="E20" s="155"/>
      <c r="F20" s="93"/>
      <c r="G20" s="163" t="s">
        <v>705</v>
      </c>
      <c r="H20" s="174"/>
      <c r="I20" s="93"/>
      <c r="N20" s="172" t="s">
        <v>751</v>
      </c>
    </row>
    <row r="21" spans="1:32" ht="18.75">
      <c r="A21" s="163" t="s">
        <v>707</v>
      </c>
      <c r="B21" s="155">
        <f>B14*B16*2+(B13-B16-B16)*B15</f>
        <v>19776</v>
      </c>
      <c r="C21" s="93" t="s">
        <v>708</v>
      </c>
      <c r="D21" s="163" t="s">
        <v>707</v>
      </c>
      <c r="E21" s="155">
        <f>E14*E16*2+(E13-E16-E16)*E15</f>
        <v>9700</v>
      </c>
      <c r="F21" s="93" t="s">
        <v>708</v>
      </c>
      <c r="G21" s="163" t="s">
        <v>707</v>
      </c>
      <c r="H21" s="174">
        <f>H14*H16*2+(H13-H16-H16)*H15</f>
        <v>0</v>
      </c>
      <c r="I21" s="93" t="s">
        <v>708</v>
      </c>
      <c r="N21" s="174" t="s">
        <v>730</v>
      </c>
      <c r="O21" s="174" t="s">
        <v>1028</v>
      </c>
      <c r="P21" s="174" t="s">
        <v>737</v>
      </c>
      <c r="Q21" s="174" t="s">
        <v>1024</v>
      </c>
      <c r="R21" s="174" t="s">
        <v>752</v>
      </c>
      <c r="U21" s="173"/>
    </row>
    <row r="22" spans="1:32" ht="18">
      <c r="A22" s="163" t="s">
        <v>709</v>
      </c>
      <c r="B22" s="155">
        <f>(B15*(B13-B16-B16)^3)/12+2*(B14*B16*B16*B16/12+B14*B16*(B13*0.5-0.5*B16)^2)</f>
        <v>588539392</v>
      </c>
      <c r="C22" s="93" t="s">
        <v>710</v>
      </c>
      <c r="D22" s="163" t="s">
        <v>709</v>
      </c>
      <c r="E22" s="155">
        <f>(E15*(E13-E16-E16)^3)/12+2*(E14*E16*E16*E16/12+E14*E16*(E13*0.5-0.5*E16)^2)</f>
        <v>264660833.33333334</v>
      </c>
      <c r="F22" s="93" t="s">
        <v>710</v>
      </c>
      <c r="G22" s="163" t="s">
        <v>709</v>
      </c>
      <c r="H22" s="174">
        <f>(H15*(H13-H16-H16)^3)/12+2*(H14*H16*H16*H16/12+H14*H16*(H13*0.5-0.5*H16)^2)</f>
        <v>0</v>
      </c>
      <c r="I22" s="93" t="s">
        <v>710</v>
      </c>
      <c r="N22" s="174" t="s">
        <v>824</v>
      </c>
      <c r="O22" s="174">
        <f>1.1*1.1*$H$30</f>
        <v>0</v>
      </c>
      <c r="P22" s="150">
        <f t="shared" ref="P22:P27" si="10">P49</f>
        <v>0</v>
      </c>
      <c r="Q22" s="150">
        <f>1.1*O22/TAN(Q49)</f>
        <v>0</v>
      </c>
      <c r="R22" s="220" t="e">
        <f t="shared" ref="R22:R27" si="11">P22-S49</f>
        <v>#DIV/0!</v>
      </c>
    </row>
    <row r="23" spans="1:32" ht="18">
      <c r="A23" s="163" t="s">
        <v>711</v>
      </c>
      <c r="B23" s="155">
        <f>(B13-B16-B16)*B15*B15*B15/12+B16*B14*B14*B14*2/12</f>
        <v>117050112</v>
      </c>
      <c r="C23" s="93" t="s">
        <v>710</v>
      </c>
      <c r="D23" s="163" t="s">
        <v>711</v>
      </c>
      <c r="E23" s="155">
        <f>(E13-E16-E16)*E15*E15*E15/12+E16*E14*E14*E14*2/12</f>
        <v>20030833.333333332</v>
      </c>
      <c r="F23" s="93" t="s">
        <v>710</v>
      </c>
      <c r="G23" s="163" t="s">
        <v>711</v>
      </c>
      <c r="H23" s="174">
        <f>(H13-H16-H16)*H15*H15*H15/12+H16*H14*H14*H14*2/12</f>
        <v>0</v>
      </c>
      <c r="I23" s="93" t="s">
        <v>710</v>
      </c>
      <c r="N23" s="174" t="s">
        <v>823</v>
      </c>
      <c r="O23" s="174">
        <f>1.1*1.1*$H$30</f>
        <v>0</v>
      </c>
      <c r="P23" s="150">
        <f t="shared" si="10"/>
        <v>0</v>
      </c>
      <c r="Q23" s="150">
        <f>1.1*O23/TAN(Q50)</f>
        <v>0</v>
      </c>
      <c r="R23" s="220" t="e">
        <f t="shared" si="11"/>
        <v>#DIV/0!</v>
      </c>
    </row>
    <row r="24" spans="1:32" ht="18">
      <c r="A24" s="163" t="s">
        <v>712</v>
      </c>
      <c r="B24" s="155">
        <f>(B13-B16-B16)*B15*B15*B15/3+B14*B16*B16*B16/3*2</f>
        <v>3715648</v>
      </c>
      <c r="C24" s="93" t="s">
        <v>710</v>
      </c>
      <c r="D24" s="163" t="s">
        <v>712</v>
      </c>
      <c r="E24" s="155">
        <f>(E13-E16-E16)*E15*E15*E15/3+E14*E16*E16*E16/3*2</f>
        <v>573333.33333333337</v>
      </c>
      <c r="F24" s="93" t="s">
        <v>710</v>
      </c>
      <c r="G24" s="163" t="s">
        <v>712</v>
      </c>
      <c r="H24" s="174">
        <f>(H13-H16-H16)*H15*H15*H15/3+H14*H16*H16*H16/3*2</f>
        <v>0</v>
      </c>
      <c r="I24" s="93" t="s">
        <v>710</v>
      </c>
      <c r="N24" s="174" t="s">
        <v>733</v>
      </c>
      <c r="O24" s="150">
        <f>1.1*M3*$E$30</f>
        <v>96.70320000000001</v>
      </c>
      <c r="P24" s="198">
        <f t="shared" si="10"/>
        <v>5494.5000000000009</v>
      </c>
      <c r="Q24" s="150">
        <f>1.1*O24/TAN(G4)</f>
        <v>93.076830000000029</v>
      </c>
      <c r="R24" s="220">
        <f t="shared" si="11"/>
        <v>3312.9241691172861</v>
      </c>
    </row>
    <row r="25" spans="1:32" ht="18">
      <c r="A25" s="163" t="s">
        <v>713</v>
      </c>
      <c r="B25" s="155">
        <f>B22/(B13/2)</f>
        <v>2942696.96</v>
      </c>
      <c r="C25" s="93" t="s">
        <v>714</v>
      </c>
      <c r="D25" s="163" t="s">
        <v>713</v>
      </c>
      <c r="E25" s="155">
        <f>E22/(E13/2)</f>
        <v>1323304.1666666667</v>
      </c>
      <c r="F25" s="93" t="s">
        <v>714</v>
      </c>
      <c r="G25" s="163" t="s">
        <v>713</v>
      </c>
      <c r="H25" s="174" t="e">
        <f>H22/(H13/2)</f>
        <v>#DIV/0!</v>
      </c>
      <c r="I25" s="93" t="s">
        <v>714</v>
      </c>
      <c r="N25" s="174" t="s">
        <v>735</v>
      </c>
      <c r="O25" s="150">
        <f>1.1*M3*$E$30</f>
        <v>96.70320000000001</v>
      </c>
      <c r="P25" s="198">
        <f t="shared" si="10"/>
        <v>5494.5000000000009</v>
      </c>
      <c r="Q25" s="150">
        <f>1.1*O25/TAN(G5)</f>
        <v>93.076830000000029</v>
      </c>
      <c r="R25" s="220">
        <f t="shared" si="11"/>
        <v>3312.9241691172861</v>
      </c>
    </row>
    <row r="26" spans="1:32" ht="18">
      <c r="A26" s="163" t="s">
        <v>715</v>
      </c>
      <c r="B26" s="155">
        <f>B23/(B14/2)</f>
        <v>780334.07999999996</v>
      </c>
      <c r="C26" s="93" t="s">
        <v>714</v>
      </c>
      <c r="D26" s="163" t="s">
        <v>715</v>
      </c>
      <c r="E26" s="155">
        <f>E23/(E14/2)</f>
        <v>200308.33333333331</v>
      </c>
      <c r="F26" s="93" t="s">
        <v>714</v>
      </c>
      <c r="G26" s="163" t="s">
        <v>715</v>
      </c>
      <c r="H26" s="174" t="e">
        <f>H23/(H14/2)</f>
        <v>#DIV/0!</v>
      </c>
      <c r="I26" s="93" t="s">
        <v>714</v>
      </c>
      <c r="J26" s="176"/>
      <c r="K26" s="176"/>
      <c r="L26" s="176"/>
      <c r="N26" s="174" t="s">
        <v>814</v>
      </c>
      <c r="O26" s="150">
        <f>1.1*M3*$B$30</f>
        <v>109.143936</v>
      </c>
      <c r="P26" s="198">
        <f t="shared" si="10"/>
        <v>6201.36</v>
      </c>
      <c r="Q26" s="150">
        <f>1.1*O26/TAN(G6)</f>
        <v>105.05103840000004</v>
      </c>
      <c r="R26" s="220">
        <f t="shared" si="11"/>
        <v>3739.1273865496714</v>
      </c>
    </row>
    <row r="27" spans="1:32" ht="18">
      <c r="A27" s="163" t="s">
        <v>716</v>
      </c>
      <c r="B27" s="155">
        <f>B14*B13*B13*0.25-(B14-B15)*((B13-2*B16)^2)*0.25</f>
        <v>3280512</v>
      </c>
      <c r="C27" s="93" t="s">
        <v>714</v>
      </c>
      <c r="D27" s="163" t="s">
        <v>716</v>
      </c>
      <c r="E27" s="155">
        <f>E14*E13*E13*0.25-(E14-E15)*(E13-2*E16)^2*0.25</f>
        <v>1497250</v>
      </c>
      <c r="F27" s="93" t="s">
        <v>714</v>
      </c>
      <c r="G27" s="163" t="s">
        <v>716</v>
      </c>
      <c r="H27" s="174">
        <f>H14*H13*H13*0.25-(H14-H15)*(H13-2*H16)^2*0.25</f>
        <v>0</v>
      </c>
      <c r="I27" s="93" t="s">
        <v>714</v>
      </c>
      <c r="J27" s="176"/>
      <c r="K27" s="176"/>
      <c r="L27" s="176"/>
      <c r="N27" s="174" t="s">
        <v>825</v>
      </c>
      <c r="O27" s="150">
        <f>1.1*M3*$B$30</f>
        <v>109.143936</v>
      </c>
      <c r="P27" s="198">
        <f t="shared" si="10"/>
        <v>6201.36</v>
      </c>
      <c r="Q27" s="150">
        <f>1.1*O27/TAN(G7)</f>
        <v>105.05103840000004</v>
      </c>
      <c r="R27" s="220">
        <f t="shared" si="11"/>
        <v>3739.1273865496714</v>
      </c>
    </row>
    <row r="28" spans="1:32" ht="18.75" thickBot="1">
      <c r="A28" s="165" t="s">
        <v>717</v>
      </c>
      <c r="B28" s="146">
        <f>B16*B14*B14*0.25*2+(B13-2*B16)*B15*B15*0.25</f>
        <v>1182528</v>
      </c>
      <c r="C28" s="166" t="s">
        <v>714</v>
      </c>
      <c r="D28" s="165" t="s">
        <v>717</v>
      </c>
      <c r="E28" s="146">
        <f>E16*E14*E14*0.25*2+(E13-2*E16)*E15*E15*0.25</f>
        <v>309250</v>
      </c>
      <c r="F28" s="166" t="s">
        <v>714</v>
      </c>
      <c r="G28" s="165" t="s">
        <v>717</v>
      </c>
      <c r="H28" s="146">
        <f>H16*H14*H14*0.25*2+(H13-2*H16)*H15*H15*0.25</f>
        <v>0</v>
      </c>
      <c r="I28" s="166" t="s">
        <v>714</v>
      </c>
      <c r="J28" s="176"/>
      <c r="K28" s="176"/>
      <c r="L28" s="176"/>
      <c r="P28" s="206" t="s">
        <v>1016</v>
      </c>
      <c r="R28" s="221" t="s">
        <v>1018</v>
      </c>
    </row>
    <row r="29" spans="1:32" ht="16.5">
      <c r="A29" s="167" t="s">
        <v>719</v>
      </c>
      <c r="B29" s="168">
        <f>B27*B17/1000</f>
        <v>10825.6896</v>
      </c>
      <c r="C29" s="99" t="s">
        <v>721</v>
      </c>
      <c r="D29" s="167" t="s">
        <v>719</v>
      </c>
      <c r="E29" s="168">
        <f>E27*E17/1000</f>
        <v>4940.9250000000002</v>
      </c>
      <c r="F29" s="99" t="s">
        <v>721</v>
      </c>
      <c r="G29" s="167" t="s">
        <v>719</v>
      </c>
      <c r="H29" s="168">
        <f>H27*H17/1000</f>
        <v>0</v>
      </c>
      <c r="I29" s="99" t="s">
        <v>721</v>
      </c>
      <c r="J29" s="176"/>
      <c r="K29" s="176"/>
      <c r="L29" s="176"/>
      <c r="P29" s="212" t="s">
        <v>979</v>
      </c>
      <c r="Q29" s="173" t="s">
        <v>980</v>
      </c>
      <c r="R29" s="212" t="s">
        <v>981</v>
      </c>
    </row>
    <row r="30" spans="1:32" ht="19.5" thickBot="1">
      <c r="A30" s="164" t="s">
        <v>720</v>
      </c>
      <c r="B30" s="94">
        <f>0.6*(B13-B16-B16)*B15*B17/10/10</f>
        <v>82.684799999999996</v>
      </c>
      <c r="C30" s="95" t="s">
        <v>722</v>
      </c>
      <c r="D30" s="164" t="s">
        <v>720</v>
      </c>
      <c r="E30" s="94">
        <f>0.6*(E13-E16-E16)*E15*E17/10/10</f>
        <v>73.260000000000005</v>
      </c>
      <c r="F30" s="95" t="s">
        <v>722</v>
      </c>
      <c r="G30" s="164" t="s">
        <v>720</v>
      </c>
      <c r="H30" s="94">
        <f>0.6*(H13-H16-H16)*H15*H17/10/10</f>
        <v>0</v>
      </c>
      <c r="I30" s="95" t="s">
        <v>722</v>
      </c>
      <c r="N30" s="174" t="s">
        <v>730</v>
      </c>
      <c r="O30" s="174" t="s">
        <v>1019</v>
      </c>
      <c r="P30" s="174" t="s">
        <v>742</v>
      </c>
      <c r="Q30" s="174" t="s">
        <v>743</v>
      </c>
      <c r="R30" s="224" t="s">
        <v>741</v>
      </c>
      <c r="S30" s="217" t="s">
        <v>1023</v>
      </c>
    </row>
    <row r="31" spans="1:32" s="173" customFormat="1">
      <c r="A31" s="205" t="s">
        <v>745</v>
      </c>
      <c r="B31" s="168">
        <f>B14*0.5/B16</f>
        <v>5.7692307692307692</v>
      </c>
      <c r="C31" s="168" t="s">
        <v>955</v>
      </c>
      <c r="D31" s="204" t="s">
        <v>931</v>
      </c>
      <c r="E31" s="168">
        <f>E14*0.5/E16</f>
        <v>6.666666666666667</v>
      </c>
      <c r="F31" s="99"/>
      <c r="G31" s="168" t="s">
        <v>745</v>
      </c>
      <c r="H31" s="168" t="e">
        <f>H14*0.5/H16</f>
        <v>#DIV/0!</v>
      </c>
      <c r="I31" s="99"/>
      <c r="N31" s="174" t="s">
        <v>824</v>
      </c>
      <c r="O31" s="174" t="e">
        <f>0.7*425/SQRT((H23/10000)/(H21/100))*SQRT(3.52/2039/PI()/PI())</f>
        <v>#DIV/0!</v>
      </c>
      <c r="P31" s="174" t="e">
        <f>IF(O31&lt;=1.5,(0.658^(O31*O31))*3.52*H21/100,0.877/O31/O31*3.52*H21/100)</f>
        <v>#DIV/0!</v>
      </c>
      <c r="Q31" s="174" t="e">
        <f>IF(AND(H31&lt;H33,H34&lt;H36),H29,0)</f>
        <v>#DIV/0!</v>
      </c>
      <c r="R31" s="222" t="e">
        <f>IF(Q22/(0.85*P31)&gt;=0.2,Q22/(0.85*P31)+8*R22/(9*0.9*Q31),Q22/(0.85*P31)+R22/(0.9*Q31))</f>
        <v>#DIV/0!</v>
      </c>
      <c r="S31" s="217" t="e">
        <f t="shared" ref="S31:S36" si="12">IF(R31&lt;1,"OK","NG")</f>
        <v>#DIV/0!</v>
      </c>
      <c r="T31" s="154"/>
      <c r="U31" s="6"/>
      <c r="Y31" s="6"/>
      <c r="Z31" s="6"/>
      <c r="AA31" s="6"/>
    </row>
    <row r="32" spans="1:32" s="173" customFormat="1">
      <c r="A32" s="163" t="s">
        <v>746</v>
      </c>
      <c r="B32" s="174">
        <f>25/SQRT(B17)</f>
        <v>13.762047064079509</v>
      </c>
      <c r="C32" s="174" t="s">
        <v>953</v>
      </c>
      <c r="D32" s="174" t="s">
        <v>746</v>
      </c>
      <c r="E32" s="174">
        <f>25/SQRT(E17)</f>
        <v>13.762047064079509</v>
      </c>
      <c r="F32" s="93"/>
      <c r="G32" s="174" t="s">
        <v>746</v>
      </c>
      <c r="H32" s="174">
        <f>25/SQRT(H17)</f>
        <v>13.325044772225652</v>
      </c>
      <c r="I32" s="93"/>
      <c r="N32" s="174" t="s">
        <v>833</v>
      </c>
      <c r="O32" s="174" t="e">
        <f>0.7*425/SQRT((H23/10000)/(H21/100))*SQRT(3.52/2039/PI()/PI())</f>
        <v>#DIV/0!</v>
      </c>
      <c r="P32" s="174" t="e">
        <f>IF(O32&lt;=1.5,(0.658^(O32*O32))*3.52*H21/100,0.877/O32/O32*3.52*H21/100)</f>
        <v>#DIV/0!</v>
      </c>
      <c r="Q32" s="174" t="e">
        <f>IF(AND(H31&lt;H33,H34&lt;H36),H29,0)</f>
        <v>#DIV/0!</v>
      </c>
      <c r="R32" s="222" t="e">
        <f>IF(Q23/(0.85*P32)&gt;=0.2,Q23/(0.85*P32)+8*R23/(9*0.9*Q32),Q23/(0.85*P32)+R23/(0.9*Q32))</f>
        <v>#DIV/0!</v>
      </c>
      <c r="S32" s="217" t="e">
        <f t="shared" si="12"/>
        <v>#DIV/0!</v>
      </c>
      <c r="T32" s="154"/>
      <c r="U32" s="6"/>
      <c r="Y32" s="6"/>
      <c r="Z32" s="6"/>
      <c r="AA32" s="6"/>
    </row>
    <row r="33" spans="1:27" s="173" customFormat="1">
      <c r="A33" s="200" t="s">
        <v>747</v>
      </c>
      <c r="B33" s="174">
        <f>16/SQRT(B17)</f>
        <v>8.807710121010885</v>
      </c>
      <c r="C33" s="174" t="s">
        <v>954</v>
      </c>
      <c r="D33" s="199" t="s">
        <v>747</v>
      </c>
      <c r="E33" s="174">
        <f>16/SQRT(E17)</f>
        <v>8.807710121010885</v>
      </c>
      <c r="F33" s="93"/>
      <c r="G33" s="174" t="s">
        <v>747</v>
      </c>
      <c r="H33" s="174">
        <f>16/SQRT(H17)</f>
        <v>8.5280286542244177</v>
      </c>
      <c r="I33" s="93"/>
      <c r="N33" s="174" t="s">
        <v>586</v>
      </c>
      <c r="O33" s="198">
        <f>0.5*O37/SQRT((E23/10000)/(E21/100))*SQRT(E17/N6/PI()/PI())</f>
        <v>0.49317495112856352</v>
      </c>
      <c r="P33" s="150">
        <f>IF(O33&lt;=1.5,(0.658^(O33*O33))*E17*E21/100,0.877/O33/O33*E17*E21/100)</f>
        <v>289.1174451097765</v>
      </c>
      <c r="Q33" s="150">
        <f>IF(AND(E31&lt;E33,E34&lt;E36),E29,0)</f>
        <v>4940.9250000000002</v>
      </c>
      <c r="R33" s="222">
        <f>IF(Q24/(0.85*M3*P33)&gt;=0.2,Q24/(0.85*M3*P33)+8*R24/(9*0.9*M3*Q33),Q24/(2*0.85*M3*P33)+R24/(0.9*M3*Q33))</f>
        <v>0.86747939707326405</v>
      </c>
      <c r="S33" s="217" t="str">
        <f t="shared" si="12"/>
        <v>OK</v>
      </c>
    </row>
    <row r="34" spans="1:27" s="173" customFormat="1">
      <c r="A34" s="200" t="s">
        <v>748</v>
      </c>
      <c r="B34" s="174">
        <f>(B13-B16-B16)/B15</f>
        <v>29</v>
      </c>
      <c r="C34" s="174" t="s">
        <v>956</v>
      </c>
      <c r="D34" s="199" t="s">
        <v>748</v>
      </c>
      <c r="E34" s="174">
        <f>(E13-E16-E16)/E15</f>
        <v>37</v>
      </c>
      <c r="F34" s="93"/>
      <c r="G34" s="174" t="s">
        <v>748</v>
      </c>
      <c r="H34" s="174" t="e">
        <f>(H13-H16-H16)/H15</f>
        <v>#DIV/0!</v>
      </c>
      <c r="I34" s="93"/>
      <c r="N34" s="174" t="s">
        <v>832</v>
      </c>
      <c r="O34" s="198">
        <f>0.5*O37/SQRT((E23/10000)/(E21/100))*SQRT(E17/N6/PI()/PI())</f>
        <v>0.49317495112856352</v>
      </c>
      <c r="P34" s="150">
        <f>IF(O34&lt;=1.5,(0.658^(O34*O34))*E17*E21/100,0.877/O34/O34*E17*E21/100)</f>
        <v>289.1174451097765</v>
      </c>
      <c r="Q34" s="150">
        <f>IF(AND(E31&lt;E33,E34&lt;E36),E29,0)</f>
        <v>4940.9250000000002</v>
      </c>
      <c r="R34" s="222">
        <f>IF(Q25/(0.85*M3*P34)&gt;=0.2,Q25/(0.85*M3*P34)+8*R25/(9*0.9*M3*Q34),Q25/(2*0.85*M3*P34)+R25/(0.9*M3*Q34))</f>
        <v>0.86747939707326405</v>
      </c>
      <c r="S34" s="217" t="str">
        <f t="shared" si="12"/>
        <v>OK</v>
      </c>
    </row>
    <row r="35" spans="1:27" s="173" customFormat="1">
      <c r="A35" s="163" t="s">
        <v>749</v>
      </c>
      <c r="B35" s="174">
        <f>260/SQRT(B17)</f>
        <v>143.12528946642689</v>
      </c>
      <c r="C35" s="174" t="s">
        <v>957</v>
      </c>
      <c r="D35" s="174" t="s">
        <v>749</v>
      </c>
      <c r="E35" s="174">
        <f>260/SQRT(E17)</f>
        <v>143.12528946642689</v>
      </c>
      <c r="F35" s="93"/>
      <c r="G35" s="174" t="s">
        <v>749</v>
      </c>
      <c r="H35" s="174">
        <f>260/SQRT(H17)</f>
        <v>138.58046563114678</v>
      </c>
      <c r="I35" s="93"/>
      <c r="N35" s="174" t="s">
        <v>831</v>
      </c>
      <c r="O35" s="198">
        <f>0.5*O37/SQRT((B23/10000)/(B21/100))*SQRT(B17/N6/PI()/PI())</f>
        <v>0.29130501523642655</v>
      </c>
      <c r="P35" s="150">
        <f>IF(O35&lt;=1.5,(0.658^(O35*O35))*B17*B21/100,0.877/O35/O35*B17*B21/100)</f>
        <v>629.83573118086122</v>
      </c>
      <c r="Q35" s="150">
        <f>IF(AND(B31&lt;B33,B34&lt;B36),B29,0)</f>
        <v>10825.6896</v>
      </c>
      <c r="R35" s="222">
        <f>IF(Q26/(0.85*M3*P35)&gt;=0.2,Q26/(0.85*M3*P35)+8*R26/(9*0.9*M3*Q35),Q26/(2*0.85*M3*P35)+R26/(0.9*M3*Q35))</f>
        <v>0.40156956416614997</v>
      </c>
      <c r="S35" s="217" t="str">
        <f t="shared" si="12"/>
        <v>OK</v>
      </c>
    </row>
    <row r="36" spans="1:27" s="173" customFormat="1" ht="16.5" thickBot="1">
      <c r="A36" s="202" t="s">
        <v>750</v>
      </c>
      <c r="B36" s="94">
        <f>170/SQRT(B17)</f>
        <v>93.581920035740652</v>
      </c>
      <c r="C36" s="94" t="s">
        <v>958</v>
      </c>
      <c r="D36" s="201" t="s">
        <v>750</v>
      </c>
      <c r="E36" s="94">
        <f>170/SQRT(E17)</f>
        <v>93.581920035740652</v>
      </c>
      <c r="F36" s="95"/>
      <c r="G36" s="94" t="s">
        <v>750</v>
      </c>
      <c r="H36" s="94">
        <f>170/SQRT(H17)</f>
        <v>90.610304451134425</v>
      </c>
      <c r="I36" s="95"/>
      <c r="N36" s="174" t="s">
        <v>830</v>
      </c>
      <c r="O36" s="198">
        <f>0.5*O37/SQRT((B23/10000)/(B21/100))*SQRT(B17/N6/PI()/PI())</f>
        <v>0.29130501523642655</v>
      </c>
      <c r="P36" s="150">
        <f>IF(O36&lt;=1.5,(0.658^(O36*O36))*B17*B21/100,0.877/O36/O36*B17*B21/100)</f>
        <v>629.83573118086122</v>
      </c>
      <c r="Q36" s="150">
        <f>IF(AND(B31&lt;B33,B34&lt;B36),B29,0)</f>
        <v>10825.6896</v>
      </c>
      <c r="R36" s="222">
        <f>IF(Q27/(0.85*M3*P36)&gt;=0.2,Q27/(0.85*M3*P36)+8*R27/(9*0.9*M3*Q36),Q27/(2*0.85*M3*P36)+R27/(0.9*M3*Q36))</f>
        <v>0.40156956416614997</v>
      </c>
      <c r="S36" s="217" t="str">
        <f t="shared" si="12"/>
        <v>OK</v>
      </c>
    </row>
    <row r="37" spans="1:27" ht="16.5">
      <c r="C37" s="173"/>
      <c r="N37" s="238" t="s">
        <v>1042</v>
      </c>
      <c r="O37" s="238">
        <v>350</v>
      </c>
      <c r="R37" s="225" t="s">
        <v>933</v>
      </c>
      <c r="S37" s="173"/>
      <c r="T37" s="173"/>
      <c r="U37" s="173"/>
      <c r="V37" s="173"/>
      <c r="W37" s="173"/>
      <c r="X37" s="173"/>
      <c r="Y37" s="173"/>
      <c r="Z37" s="173"/>
      <c r="AA37" s="173"/>
    </row>
    <row r="38" spans="1:27" s="173" customFormat="1">
      <c r="N38" s="227"/>
      <c r="O38" s="308" t="s">
        <v>976</v>
      </c>
      <c r="P38" s="308" t="s">
        <v>973</v>
      </c>
      <c r="Q38" s="308"/>
    </row>
    <row r="39" spans="1:27" s="173" customFormat="1">
      <c r="N39" s="227"/>
      <c r="O39" s="308"/>
      <c r="P39" s="308"/>
      <c r="Q39" s="308"/>
    </row>
    <row r="40" spans="1:27" s="173" customFormat="1">
      <c r="N40" s="227"/>
      <c r="O40" s="308" t="s">
        <v>977</v>
      </c>
      <c r="P40" s="308" t="s">
        <v>974</v>
      </c>
      <c r="Q40" s="308"/>
    </row>
    <row r="41" spans="1:27" s="173" customFormat="1">
      <c r="N41" s="227"/>
      <c r="O41" s="308"/>
      <c r="P41" s="308"/>
      <c r="Q41" s="308"/>
    </row>
    <row r="42" spans="1:27" s="173" customFormat="1">
      <c r="N42" s="227"/>
      <c r="O42" s="211" t="s">
        <v>978</v>
      </c>
    </row>
    <row r="43" spans="1:27" s="173" customFormat="1" ht="16.5">
      <c r="N43" s="227"/>
      <c r="O43" s="215" t="s">
        <v>990</v>
      </c>
    </row>
    <row r="44" spans="1:27" s="173" customFormat="1">
      <c r="N44" s="227"/>
    </row>
    <row r="45" spans="1:27" s="173" customFormat="1">
      <c r="N45" s="227"/>
    </row>
    <row r="46" spans="1:27" ht="18.75" customHeight="1" thickBot="1">
      <c r="C46" s="173"/>
      <c r="N46" s="173"/>
      <c r="R46" s="173"/>
      <c r="V46" s="173"/>
      <c r="W46" s="173"/>
      <c r="X46" s="173"/>
      <c r="Y46" s="173"/>
      <c r="Z46" s="173"/>
      <c r="AA46" s="173"/>
    </row>
    <row r="47" spans="1:27" ht="35.25" customHeight="1">
      <c r="A47" s="302" t="s">
        <v>835</v>
      </c>
      <c r="B47" s="303"/>
      <c r="C47" s="304"/>
      <c r="D47" s="302" t="s">
        <v>828</v>
      </c>
      <c r="E47" s="303"/>
      <c r="F47" s="304"/>
      <c r="G47" s="302" t="s">
        <v>829</v>
      </c>
      <c r="H47" s="303"/>
      <c r="I47" s="304"/>
      <c r="N47" s="41" t="s">
        <v>729</v>
      </c>
      <c r="P47" s="6" t="s">
        <v>1017</v>
      </c>
      <c r="S47" s="215" t="s">
        <v>932</v>
      </c>
    </row>
    <row r="48" spans="1:27" ht="47.25">
      <c r="A48" s="156" t="s">
        <v>698</v>
      </c>
      <c r="B48" s="157">
        <v>400</v>
      </c>
      <c r="C48" s="158" t="s">
        <v>699</v>
      </c>
      <c r="D48" s="156" t="s">
        <v>698</v>
      </c>
      <c r="E48" s="157">
        <v>400</v>
      </c>
      <c r="F48" s="158" t="s">
        <v>699</v>
      </c>
      <c r="G48" s="156" t="s">
        <v>698</v>
      </c>
      <c r="H48" s="157">
        <v>0</v>
      </c>
      <c r="I48" s="158" t="s">
        <v>699</v>
      </c>
      <c r="J48" s="176"/>
      <c r="K48" s="176"/>
      <c r="L48" s="176"/>
      <c r="M48" s="176"/>
      <c r="N48" s="155" t="s">
        <v>730</v>
      </c>
      <c r="O48" s="155" t="s">
        <v>1015</v>
      </c>
      <c r="P48" s="155" t="s">
        <v>737</v>
      </c>
      <c r="Q48" s="114" t="s">
        <v>738</v>
      </c>
      <c r="R48" s="155" t="s">
        <v>1026</v>
      </c>
      <c r="S48" s="152" t="s">
        <v>740</v>
      </c>
      <c r="T48" s="305" t="s">
        <v>726</v>
      </c>
      <c r="U48" s="306"/>
      <c r="V48" s="306"/>
      <c r="W48" s="306"/>
      <c r="X48" s="306"/>
      <c r="Y48" s="306"/>
      <c r="Z48" s="306"/>
      <c r="AA48" s="307"/>
    </row>
    <row r="49" spans="1:27" ht="24" customHeight="1">
      <c r="A49" s="156" t="s">
        <v>700</v>
      </c>
      <c r="B49" s="157">
        <v>300</v>
      </c>
      <c r="C49" s="158" t="s">
        <v>699</v>
      </c>
      <c r="D49" s="156" t="s">
        <v>700</v>
      </c>
      <c r="E49" s="157">
        <v>200</v>
      </c>
      <c r="F49" s="158" t="s">
        <v>699</v>
      </c>
      <c r="G49" s="156" t="s">
        <v>700</v>
      </c>
      <c r="H49" s="157">
        <v>0</v>
      </c>
      <c r="I49" s="158" t="s">
        <v>699</v>
      </c>
      <c r="J49" s="176"/>
      <c r="K49" s="176"/>
      <c r="L49" s="176"/>
      <c r="M49" s="176"/>
      <c r="N49" s="174" t="s">
        <v>824</v>
      </c>
      <c r="O49" s="174">
        <f>1.25*1.1*$H$30</f>
        <v>0</v>
      </c>
      <c r="P49" s="174">
        <f>O49*150/2</f>
        <v>0</v>
      </c>
      <c r="Q49" s="114">
        <f t="shared" ref="Q49:Q54" si="13">G2</f>
        <v>0.85196632717327203</v>
      </c>
      <c r="R49" s="150">
        <f t="shared" ref="R49:R54" si="14">1.1*O49/SIN(Q49)</f>
        <v>0</v>
      </c>
      <c r="S49" s="152" t="e">
        <f>(H57/(4000/SIN(Q49)))/((H22/4250)+(H57/(4000/SIN(Q49))))*P49</f>
        <v>#DIV/0!</v>
      </c>
      <c r="T49" s="169" t="s">
        <v>739</v>
      </c>
      <c r="U49" s="157">
        <f>H48</f>
        <v>0</v>
      </c>
      <c r="V49" s="116" t="s">
        <v>727</v>
      </c>
      <c r="W49" s="157">
        <f>H49</f>
        <v>0</v>
      </c>
      <c r="X49" s="116" t="s">
        <v>727</v>
      </c>
      <c r="Y49" s="157">
        <f>H50</f>
        <v>0</v>
      </c>
      <c r="Z49" s="116" t="s">
        <v>727</v>
      </c>
      <c r="AA49" s="157">
        <f>H51</f>
        <v>0</v>
      </c>
    </row>
    <row r="50" spans="1:27">
      <c r="A50" s="156" t="s">
        <v>701</v>
      </c>
      <c r="B50" s="157">
        <v>10</v>
      </c>
      <c r="C50" s="158" t="s">
        <v>699</v>
      </c>
      <c r="D50" s="156" t="s">
        <v>701</v>
      </c>
      <c r="E50" s="157">
        <v>10</v>
      </c>
      <c r="F50" s="158" t="s">
        <v>699</v>
      </c>
      <c r="G50" s="156" t="s">
        <v>701</v>
      </c>
      <c r="H50" s="157">
        <v>0</v>
      </c>
      <c r="I50" s="158" t="s">
        <v>699</v>
      </c>
      <c r="J50" s="176"/>
      <c r="K50" s="176"/>
      <c r="L50" s="176"/>
      <c r="M50" s="176"/>
      <c r="N50" s="174" t="s">
        <v>833</v>
      </c>
      <c r="O50" s="174">
        <f>1.25*1.1*$H$30</f>
        <v>0</v>
      </c>
      <c r="P50" s="174">
        <f>O50*150/2</f>
        <v>0</v>
      </c>
      <c r="Q50" s="114">
        <f t="shared" si="13"/>
        <v>0.85196632717327203</v>
      </c>
      <c r="R50" s="150">
        <f t="shared" si="14"/>
        <v>0</v>
      </c>
      <c r="S50" s="152" t="e">
        <f>(H57/(4000/SIN(Q50)))/((H22/4250)+(H57/(4000/SIN(Q50))))*P50</f>
        <v>#DIV/0!</v>
      </c>
      <c r="T50" s="169" t="s">
        <v>739</v>
      </c>
      <c r="U50" s="157">
        <f>U49</f>
        <v>0</v>
      </c>
      <c r="V50" s="116" t="s">
        <v>727</v>
      </c>
      <c r="W50" s="157">
        <f>W49</f>
        <v>0</v>
      </c>
      <c r="X50" s="116" t="s">
        <v>727</v>
      </c>
      <c r="Y50" s="157">
        <f>Y49</f>
        <v>0</v>
      </c>
      <c r="Z50" s="116" t="s">
        <v>727</v>
      </c>
      <c r="AA50" s="157">
        <f>AA49</f>
        <v>0</v>
      </c>
    </row>
    <row r="51" spans="1:27">
      <c r="A51" s="156" t="s">
        <v>702</v>
      </c>
      <c r="B51" s="157">
        <v>20</v>
      </c>
      <c r="C51" s="158" t="s">
        <v>699</v>
      </c>
      <c r="D51" s="156" t="s">
        <v>702</v>
      </c>
      <c r="E51" s="157">
        <v>15</v>
      </c>
      <c r="F51" s="158" t="s">
        <v>699</v>
      </c>
      <c r="G51" s="156" t="s">
        <v>702</v>
      </c>
      <c r="H51" s="157">
        <v>0</v>
      </c>
      <c r="I51" s="158" t="s">
        <v>699</v>
      </c>
      <c r="J51" s="176"/>
      <c r="K51" s="176"/>
      <c r="L51" s="176"/>
      <c r="M51" s="176"/>
      <c r="N51" s="174" t="s">
        <v>586</v>
      </c>
      <c r="O51" s="150">
        <f>1.25*M3*$E$30</f>
        <v>109.89000000000001</v>
      </c>
      <c r="P51" s="198">
        <f>O51*S15/2</f>
        <v>5494.5000000000009</v>
      </c>
      <c r="Q51" s="194">
        <f t="shared" si="13"/>
        <v>0.85196632717327203</v>
      </c>
      <c r="R51" s="150">
        <f t="shared" si="14"/>
        <v>160.620174462194</v>
      </c>
      <c r="S51" s="226">
        <f>(E57/(4000/SIN(Q51)))/((E22/3500)+(E57/(4000/SIN(Q51))))*P51</f>
        <v>2181.5758308827149</v>
      </c>
      <c r="T51" s="169" t="s">
        <v>739</v>
      </c>
      <c r="U51" s="157">
        <f>E48</f>
        <v>400</v>
      </c>
      <c r="V51" s="116" t="s">
        <v>727</v>
      </c>
      <c r="W51" s="157">
        <f>E49</f>
        <v>200</v>
      </c>
      <c r="X51" s="116" t="s">
        <v>727</v>
      </c>
      <c r="Y51" s="157">
        <f>E50</f>
        <v>10</v>
      </c>
      <c r="Z51" s="116" t="s">
        <v>727</v>
      </c>
      <c r="AA51" s="157">
        <f>E51</f>
        <v>15</v>
      </c>
    </row>
    <row r="52" spans="1:27">
      <c r="A52" s="156" t="s">
        <v>703</v>
      </c>
      <c r="B52" s="62">
        <v>3.3</v>
      </c>
      <c r="C52" s="158" t="s">
        <v>718</v>
      </c>
      <c r="D52" s="156" t="s">
        <v>703</v>
      </c>
      <c r="E52" s="62">
        <v>3.3</v>
      </c>
      <c r="F52" s="158" t="s">
        <v>718</v>
      </c>
      <c r="G52" s="156" t="s">
        <v>703</v>
      </c>
      <c r="H52" s="62">
        <v>3.52</v>
      </c>
      <c r="I52" s="158" t="s">
        <v>718</v>
      </c>
      <c r="N52" s="174" t="s">
        <v>832</v>
      </c>
      <c r="O52" s="150">
        <f>1.25*M3*$E$30</f>
        <v>109.89000000000001</v>
      </c>
      <c r="P52" s="198">
        <f>O52*S16/2</f>
        <v>5494.5000000000009</v>
      </c>
      <c r="Q52" s="194">
        <f t="shared" si="13"/>
        <v>0.85196632717327203</v>
      </c>
      <c r="R52" s="150">
        <f t="shared" si="14"/>
        <v>160.620174462194</v>
      </c>
      <c r="S52" s="226">
        <f>S51</f>
        <v>2181.5758308827149</v>
      </c>
      <c r="T52" s="169" t="s">
        <v>739</v>
      </c>
      <c r="U52" s="157">
        <f t="shared" ref="U52:AA52" si="15">U51</f>
        <v>400</v>
      </c>
      <c r="V52" s="116" t="str">
        <f t="shared" si="15"/>
        <v>x</v>
      </c>
      <c r="W52" s="157">
        <f t="shared" si="15"/>
        <v>200</v>
      </c>
      <c r="X52" s="116" t="str">
        <f t="shared" si="15"/>
        <v>x</v>
      </c>
      <c r="Y52" s="157">
        <f t="shared" si="15"/>
        <v>10</v>
      </c>
      <c r="Z52" s="116" t="str">
        <f t="shared" si="15"/>
        <v>x</v>
      </c>
      <c r="AA52" s="157">
        <f t="shared" si="15"/>
        <v>15</v>
      </c>
    </row>
    <row r="53" spans="1:27" ht="16.5">
      <c r="A53" s="159"/>
      <c r="B53" s="160"/>
      <c r="C53" s="161"/>
      <c r="D53" s="156"/>
      <c r="E53" s="62"/>
      <c r="F53" s="158"/>
      <c r="G53" s="156"/>
      <c r="H53" s="62"/>
      <c r="I53" s="158"/>
      <c r="N53" s="174" t="s">
        <v>831</v>
      </c>
      <c r="O53" s="150">
        <f>1.25*M3*$B$30</f>
        <v>124.02719999999999</v>
      </c>
      <c r="P53" s="198">
        <f>O53*S17/2</f>
        <v>6201.36</v>
      </c>
      <c r="Q53" s="194">
        <f t="shared" si="13"/>
        <v>0.85196632717327203</v>
      </c>
      <c r="R53" s="150">
        <f t="shared" si="14"/>
        <v>181.28374285246542</v>
      </c>
      <c r="S53" s="226">
        <f>(E59/(4000/SIN(Q53)))/((E24/3500)+(E59/(4000/SIN(Q53))))*P53</f>
        <v>2462.2326134503282</v>
      </c>
      <c r="T53" s="169" t="s">
        <v>739</v>
      </c>
      <c r="U53" s="157">
        <f>B48</f>
        <v>400</v>
      </c>
      <c r="V53" s="116" t="str">
        <f>V52</f>
        <v>x</v>
      </c>
      <c r="W53" s="157">
        <f>B49</f>
        <v>300</v>
      </c>
      <c r="X53" s="116" t="str">
        <f>X52</f>
        <v>x</v>
      </c>
      <c r="Y53" s="157">
        <f>B50</f>
        <v>10</v>
      </c>
      <c r="Z53" s="116" t="str">
        <f>Z52</f>
        <v>x</v>
      </c>
      <c r="AA53" s="157">
        <f>B51</f>
        <v>20</v>
      </c>
    </row>
    <row r="54" spans="1:27" ht="16.5">
      <c r="A54" s="162" t="s">
        <v>704</v>
      </c>
      <c r="B54" s="160"/>
      <c r="C54" s="161"/>
      <c r="D54" s="162" t="s">
        <v>704</v>
      </c>
      <c r="E54" s="160"/>
      <c r="F54" s="161"/>
      <c r="G54" s="162" t="s">
        <v>704</v>
      </c>
      <c r="H54" s="160"/>
      <c r="I54" s="161"/>
      <c r="N54" s="174" t="s">
        <v>830</v>
      </c>
      <c r="O54" s="150">
        <f>1.25*M3*$B$30</f>
        <v>124.02719999999999</v>
      </c>
      <c r="P54" s="198">
        <f>O54*S18/2</f>
        <v>6201.36</v>
      </c>
      <c r="Q54" s="194">
        <f t="shared" si="13"/>
        <v>0.85196632717327203</v>
      </c>
      <c r="R54" s="150">
        <f t="shared" si="14"/>
        <v>181.28374285246542</v>
      </c>
      <c r="S54" s="226">
        <f>S53</f>
        <v>2462.2326134503282</v>
      </c>
      <c r="T54" s="169" t="s">
        <v>739</v>
      </c>
      <c r="U54" s="157">
        <f>U53</f>
        <v>400</v>
      </c>
      <c r="V54" s="116" t="str">
        <f>V53</f>
        <v>x</v>
      </c>
      <c r="W54" s="157">
        <f>W53</f>
        <v>300</v>
      </c>
      <c r="X54" s="116" t="str">
        <f>X53</f>
        <v>x</v>
      </c>
      <c r="Y54" s="157">
        <f>Y53</f>
        <v>10</v>
      </c>
      <c r="Z54" s="116" t="str">
        <f>Z53</f>
        <v>x</v>
      </c>
      <c r="AA54" s="157">
        <f>AA53</f>
        <v>20</v>
      </c>
    </row>
    <row r="55" spans="1:27">
      <c r="A55" s="163" t="s">
        <v>705</v>
      </c>
      <c r="B55" s="155"/>
      <c r="C55" s="93"/>
      <c r="D55" s="163" t="s">
        <v>705</v>
      </c>
      <c r="E55" s="155"/>
      <c r="F55" s="93"/>
      <c r="G55" s="163" t="s">
        <v>705</v>
      </c>
      <c r="H55" s="174"/>
      <c r="I55" s="93"/>
    </row>
    <row r="56" spans="1:27" ht="18">
      <c r="A56" s="163" t="s">
        <v>707</v>
      </c>
      <c r="B56" s="155">
        <f>B49*B51*2+(B48-B51-B51)*B50</f>
        <v>15600</v>
      </c>
      <c r="C56" s="93" t="s">
        <v>708</v>
      </c>
      <c r="D56" s="163" t="s">
        <v>707</v>
      </c>
      <c r="E56" s="155">
        <f>E49*E51*2+(E48-E51-E51)*E50</f>
        <v>9700</v>
      </c>
      <c r="F56" s="93" t="s">
        <v>708</v>
      </c>
      <c r="G56" s="163" t="s">
        <v>707</v>
      </c>
      <c r="H56" s="174">
        <f>H49*H51*2+(H48-H51-H51)*H50</f>
        <v>0</v>
      </c>
      <c r="I56" s="93" t="s">
        <v>708</v>
      </c>
      <c r="N56" s="172" t="s">
        <v>753</v>
      </c>
      <c r="P56" s="212" t="s">
        <v>979</v>
      </c>
      <c r="Q56" s="173" t="s">
        <v>980</v>
      </c>
      <c r="R56" s="212" t="s">
        <v>981</v>
      </c>
    </row>
    <row r="57" spans="1:27" ht="18.75">
      <c r="A57" s="163" t="s">
        <v>709</v>
      </c>
      <c r="B57" s="155">
        <f>(B50*(B48-B51-B51)^3)/12+2*(B49*B51*B51*B51/12+B49*B51*(B48*0.5-0.5*B51)^2)</f>
        <v>472480000</v>
      </c>
      <c r="C57" s="93" t="s">
        <v>710</v>
      </c>
      <c r="D57" s="163" t="s">
        <v>709</v>
      </c>
      <c r="E57" s="155">
        <f>(E50*(E48-E51-E51)^3)/12+2*(E49*E51*E51*E51/12+E49*E51*(E48*0.5-0.5*E51)^2)</f>
        <v>264660833.33333334</v>
      </c>
      <c r="F57" s="93" t="s">
        <v>710</v>
      </c>
      <c r="G57" s="163" t="s">
        <v>709</v>
      </c>
      <c r="H57" s="174">
        <f>(H50*(H48-H51-H51)^3)/12+2*(H49*H51*H51*H51/12+H49*H51*(H48*0.5-0.5*H51)^2)</f>
        <v>0</v>
      </c>
      <c r="I57" s="93" t="s">
        <v>710</v>
      </c>
      <c r="N57" s="174" t="s">
        <v>730</v>
      </c>
      <c r="O57" s="174" t="s">
        <v>744</v>
      </c>
      <c r="P57" s="174" t="s">
        <v>742</v>
      </c>
      <c r="Q57" s="174" t="s">
        <v>743</v>
      </c>
      <c r="R57" s="224" t="s">
        <v>741</v>
      </c>
      <c r="S57" s="217" t="s">
        <v>1023</v>
      </c>
    </row>
    <row r="58" spans="1:27" ht="18">
      <c r="A58" s="163" t="s">
        <v>711</v>
      </c>
      <c r="B58" s="155">
        <f>(B48-B51-B51)*B50*B50*B50/12+B51*B49*B49*B49*2/12</f>
        <v>90030000</v>
      </c>
      <c r="C58" s="93" t="s">
        <v>710</v>
      </c>
      <c r="D58" s="163" t="s">
        <v>711</v>
      </c>
      <c r="E58" s="155">
        <f>(E48-E51-E51)*E50*E50*E50/12+E51*E49*E49*E49*2/12</f>
        <v>20030833.333333332</v>
      </c>
      <c r="F58" s="93" t="s">
        <v>710</v>
      </c>
      <c r="G58" s="163" t="s">
        <v>711</v>
      </c>
      <c r="H58" s="174">
        <f>(H48-H51-H51)*H50*H50*H50/12+H51*H49*H49*H49*2/12</f>
        <v>0</v>
      </c>
      <c r="I58" s="93" t="s">
        <v>710</v>
      </c>
      <c r="N58" s="174" t="s">
        <v>824</v>
      </c>
      <c r="O58" s="174" t="e">
        <f>0.5*400/SIN($Q$49)/SQRT((H58/10000)/(H56/100))*SQRT(3.52/2039/PI()/PI())</f>
        <v>#DIV/0!</v>
      </c>
      <c r="P58" s="174" t="e">
        <f>IF(O58&lt;=1.5,(0.658^(O58*O58))*H52*H56/100,0.877/O58/O58*H52*H56/100)</f>
        <v>#DIV/0!</v>
      </c>
      <c r="Q58" s="174" t="e">
        <f>IF(AND(H66&lt;H68,H69&lt;H71),H64,0)</f>
        <v>#DIV/0!</v>
      </c>
      <c r="R58" s="222" t="e">
        <f t="shared" ref="R58:R63" si="16">IF(R49/(0.85*P58)&gt;=0.2,R49/(0.85*P58)+8*S49/(9*0.9*Q58),R49/(0.85*P58)+S49/(0.9*Q58))</f>
        <v>#DIV/0!</v>
      </c>
      <c r="S58" s="217" t="e">
        <f t="shared" ref="S58:S63" si="17">IF(R58&lt;1,"OK","NG")</f>
        <v>#DIV/0!</v>
      </c>
    </row>
    <row r="59" spans="1:27" ht="18">
      <c r="A59" s="163" t="s">
        <v>712</v>
      </c>
      <c r="B59" s="155">
        <f>(B48-B51-B51)*B50*B50*B50/3+B49*B51*B51*B51/3*2</f>
        <v>1720000</v>
      </c>
      <c r="C59" s="93" t="s">
        <v>710</v>
      </c>
      <c r="D59" s="163" t="s">
        <v>712</v>
      </c>
      <c r="E59" s="155">
        <f>(E48-E51-E51)*E50*E50*E50/3+E49*E51*E51*E51/3*2</f>
        <v>573333.33333333337</v>
      </c>
      <c r="F59" s="93" t="s">
        <v>710</v>
      </c>
      <c r="G59" s="163" t="s">
        <v>712</v>
      </c>
      <c r="H59" s="174">
        <f>(H48-H51-H51)*H50*H50*H50/3+H49*H51*H51*H51/3*2</f>
        <v>0</v>
      </c>
      <c r="I59" s="93" t="s">
        <v>710</v>
      </c>
      <c r="N59" s="174" t="s">
        <v>833</v>
      </c>
      <c r="O59" s="174" t="e">
        <f>0.5*400/SIN($Q$50)/SQRT((H58/10000)/(H56/100))*SQRT(3.52/2039/PI()/PI())</f>
        <v>#DIV/0!</v>
      </c>
      <c r="P59" s="174" t="e">
        <f>IF(O59&lt;=1.5,(0.658^(O59*O59))*H52*H56/100,0.877/O59/O59*H52*H56/100)</f>
        <v>#DIV/0!</v>
      </c>
      <c r="Q59" s="174" t="e">
        <f>IF(AND(H66&lt;H68,H69&lt;H71),H64,0)</f>
        <v>#DIV/0!</v>
      </c>
      <c r="R59" s="222" t="e">
        <f t="shared" si="16"/>
        <v>#DIV/0!</v>
      </c>
      <c r="S59" s="217" t="e">
        <f t="shared" si="17"/>
        <v>#DIV/0!</v>
      </c>
    </row>
    <row r="60" spans="1:27" ht="18">
      <c r="A60" s="163" t="s">
        <v>713</v>
      </c>
      <c r="B60" s="155">
        <f>B57/(B48/2)</f>
        <v>2362400</v>
      </c>
      <c r="C60" s="93" t="s">
        <v>714</v>
      </c>
      <c r="D60" s="163" t="s">
        <v>713</v>
      </c>
      <c r="E60" s="155">
        <f>E57/(E48/2)</f>
        <v>1323304.1666666667</v>
      </c>
      <c r="F60" s="93" t="s">
        <v>714</v>
      </c>
      <c r="G60" s="163" t="s">
        <v>713</v>
      </c>
      <c r="H60" s="174" t="e">
        <f>H57/(H48/2)</f>
        <v>#DIV/0!</v>
      </c>
      <c r="I60" s="93" t="s">
        <v>714</v>
      </c>
      <c r="N60" s="174" t="s">
        <v>586</v>
      </c>
      <c r="O60" s="207">
        <f>0.5*380/SIN($Q$51)/SQRT((E58/10000)/(E56/100))*SQRT(3.52/2039/PI()/PI())</f>
        <v>0.73477105596607573</v>
      </c>
      <c r="P60" s="150">
        <f>IF(O60&lt;=1.5,(0.658^(O60*O60))*E52*E56/100,0.877/O60/O60*E52*E56/100)</f>
        <v>255.35709181915342</v>
      </c>
      <c r="Q60" s="150">
        <f>IF(AND(E66&lt;E68,E69&lt;E71),E64,0)</f>
        <v>4940.9250000000002</v>
      </c>
      <c r="R60" s="228">
        <f t="shared" si="16"/>
        <v>1.1760834515742589</v>
      </c>
      <c r="S60" s="217" t="str">
        <f t="shared" si="17"/>
        <v>NG</v>
      </c>
    </row>
    <row r="61" spans="1:27" ht="18">
      <c r="A61" s="163" t="s">
        <v>715</v>
      </c>
      <c r="B61" s="155">
        <f>B58/(B49/2)</f>
        <v>600200</v>
      </c>
      <c r="C61" s="93" t="s">
        <v>714</v>
      </c>
      <c r="D61" s="163" t="s">
        <v>715</v>
      </c>
      <c r="E61" s="155">
        <f>E58/(E49/2)</f>
        <v>200308.33333333331</v>
      </c>
      <c r="F61" s="93" t="s">
        <v>714</v>
      </c>
      <c r="G61" s="163" t="s">
        <v>715</v>
      </c>
      <c r="H61" s="174" t="e">
        <f>H58/(H49/2)</f>
        <v>#DIV/0!</v>
      </c>
      <c r="I61" s="93" t="s">
        <v>714</v>
      </c>
      <c r="N61" s="174" t="s">
        <v>832</v>
      </c>
      <c r="O61" s="207">
        <f>0.5*380/SIN($Q$52)/SQRT((E58/10000)/(E56/100))*SQRT(3.52/2039/PI()/PI())</f>
        <v>0.73477105596607573</v>
      </c>
      <c r="P61" s="150">
        <f>IF(O61&lt;=1.5,(0.658^(O61*O61))*E52*E56/100,0.877/O61/O61*E52*E56/100)</f>
        <v>255.35709181915342</v>
      </c>
      <c r="Q61" s="150">
        <f>IF(AND(E66&lt;E68,E69&lt;E71),E64,0)</f>
        <v>4940.9250000000002</v>
      </c>
      <c r="R61" s="228">
        <f t="shared" si="16"/>
        <v>1.1760834515742589</v>
      </c>
      <c r="S61" s="217" t="str">
        <f t="shared" si="17"/>
        <v>NG</v>
      </c>
    </row>
    <row r="62" spans="1:27" ht="18">
      <c r="A62" s="163" t="s">
        <v>716</v>
      </c>
      <c r="B62" s="155">
        <f>B49*B48*B48*0.25-(B49-B50)*((B48-2*B51)^2)*0.25</f>
        <v>2604000</v>
      </c>
      <c r="C62" s="93" t="s">
        <v>714</v>
      </c>
      <c r="D62" s="163" t="s">
        <v>716</v>
      </c>
      <c r="E62" s="155">
        <f>E49*E48*E48*0.25-(E49-E50)*(E48-2*E51)^2*0.25</f>
        <v>1497250</v>
      </c>
      <c r="F62" s="93" t="s">
        <v>714</v>
      </c>
      <c r="G62" s="163" t="s">
        <v>716</v>
      </c>
      <c r="H62" s="174">
        <f>H49*H48*H48*0.25-(H49-H50)*(H48-2*H51)^2*0.25</f>
        <v>0</v>
      </c>
      <c r="I62" s="93" t="s">
        <v>714</v>
      </c>
      <c r="N62" s="174" t="s">
        <v>831</v>
      </c>
      <c r="O62" s="207">
        <f>0.5*380/SIN($Q$53)/SQRT((B58/10000)/(B56/100))*SQRT(3.52/2039/PI()/PI())</f>
        <v>0.43952578267561482</v>
      </c>
      <c r="P62" s="150">
        <f>IF(O62&lt;=1.5,(0.658^(O62*O62))*B52*B56/100,0.877/O62/O62*B52*B56/100)</f>
        <v>474.81331230734162</v>
      </c>
      <c r="Q62" s="150">
        <f>IF(AND(B66&lt;B68,B69&lt;B71),B64,0)</f>
        <v>8593.2000000000007</v>
      </c>
      <c r="R62" s="228">
        <f t="shared" si="16"/>
        <v>0.73217175876190055</v>
      </c>
      <c r="S62" s="217" t="str">
        <f t="shared" si="17"/>
        <v>OK</v>
      </c>
    </row>
    <row r="63" spans="1:27" ht="18.75" thickBot="1">
      <c r="A63" s="165" t="s">
        <v>717</v>
      </c>
      <c r="B63" s="146">
        <f>B51*B49*B49*0.25*2+(B48-2*B51)*B50*B50*0.25</f>
        <v>909000</v>
      </c>
      <c r="C63" s="166" t="s">
        <v>714</v>
      </c>
      <c r="D63" s="165" t="s">
        <v>717</v>
      </c>
      <c r="E63" s="146">
        <f>E51*E49*E49*0.25*2+(E48-2*E51)*E50*E50*0.25</f>
        <v>309250</v>
      </c>
      <c r="F63" s="166" t="s">
        <v>714</v>
      </c>
      <c r="G63" s="165" t="s">
        <v>717</v>
      </c>
      <c r="H63" s="146">
        <f>H51*H49*H49*0.25*2+(H48-2*H51)*H50*H50*0.25</f>
        <v>0</v>
      </c>
      <c r="I63" s="166" t="s">
        <v>714</v>
      </c>
      <c r="N63" s="174" t="s">
        <v>830</v>
      </c>
      <c r="O63" s="207">
        <f>0.5*380/SIN($Q$54)/SQRT((B58/10000)/(B56/100))*SQRT(3.52/2039/PI()/PI())</f>
        <v>0.43952578267561482</v>
      </c>
      <c r="P63" s="150">
        <f>IF(O63&lt;=1.5,(0.658^(O63*O63))*B52*B56/100,0.877/O63/O63*B52*B56/100)</f>
        <v>474.81331230734162</v>
      </c>
      <c r="Q63" s="150">
        <f>IF(AND(B66&lt;B68,B69&lt;B71),B64,0)</f>
        <v>8593.2000000000007</v>
      </c>
      <c r="R63" s="228">
        <f t="shared" si="16"/>
        <v>0.73217175876190055</v>
      </c>
      <c r="S63" s="217" t="str">
        <f t="shared" si="17"/>
        <v>OK</v>
      </c>
    </row>
    <row r="64" spans="1:27" ht="16.5">
      <c r="A64" s="167" t="s">
        <v>719</v>
      </c>
      <c r="B64" s="168">
        <f>B62*B52/1000</f>
        <v>8593.2000000000007</v>
      </c>
      <c r="C64" s="99" t="s">
        <v>721</v>
      </c>
      <c r="D64" s="167" t="s">
        <v>719</v>
      </c>
      <c r="E64" s="168">
        <f>E62*E52/1000</f>
        <v>4940.9250000000002</v>
      </c>
      <c r="F64" s="99" t="s">
        <v>721</v>
      </c>
      <c r="G64" s="167" t="s">
        <v>719</v>
      </c>
      <c r="H64" s="168">
        <f>H62*H52/1000</f>
        <v>0</v>
      </c>
      <c r="I64" s="99" t="s">
        <v>721</v>
      </c>
      <c r="N64" s="238" t="s">
        <v>1041</v>
      </c>
      <c r="O64" s="238">
        <f>400/SIN(G2)</f>
        <v>531.50729063673248</v>
      </c>
      <c r="R64" s="225" t="s">
        <v>934</v>
      </c>
      <c r="U64" s="147"/>
      <c r="V64" s="147"/>
      <c r="W64" s="147"/>
      <c r="X64" s="147"/>
      <c r="Y64" s="147"/>
      <c r="Z64" s="147"/>
    </row>
    <row r="65" spans="1:29" ht="16.5" thickBot="1">
      <c r="A65" s="165" t="s">
        <v>720</v>
      </c>
      <c r="B65" s="146">
        <f>0.6*(B48-B51-B51)*B50*B52/10/10</f>
        <v>71.28</v>
      </c>
      <c r="C65" s="166" t="s">
        <v>722</v>
      </c>
      <c r="D65" s="165" t="s">
        <v>720</v>
      </c>
      <c r="E65" s="146">
        <f>0.6*(E48-E51-E51)*E50*E52/10/10</f>
        <v>73.260000000000005</v>
      </c>
      <c r="F65" s="166" t="s">
        <v>722</v>
      </c>
      <c r="G65" s="165" t="s">
        <v>720</v>
      </c>
      <c r="H65" s="146">
        <f>0.6*(H48-H51-H51)*H50*H52/10/10</f>
        <v>0</v>
      </c>
      <c r="I65" s="166" t="s">
        <v>722</v>
      </c>
      <c r="N65" s="173"/>
      <c r="U65" s="62"/>
      <c r="V65" s="62"/>
      <c r="W65" s="62"/>
      <c r="X65" s="62"/>
      <c r="Y65" s="62"/>
      <c r="Z65" s="62"/>
    </row>
    <row r="66" spans="1:29">
      <c r="A66" s="205" t="s">
        <v>745</v>
      </c>
      <c r="B66" s="168">
        <f>B49*0.5/B51</f>
        <v>7.5</v>
      </c>
      <c r="C66" s="168"/>
      <c r="D66" s="204" t="s">
        <v>745</v>
      </c>
      <c r="E66" s="168">
        <f>E49*0.5/E51</f>
        <v>6.666666666666667</v>
      </c>
      <c r="F66" s="99"/>
      <c r="G66" s="168" t="s">
        <v>745</v>
      </c>
      <c r="H66" s="168" t="e">
        <f>H49*0.5/H51</f>
        <v>#DIV/0!</v>
      </c>
      <c r="I66" s="99"/>
      <c r="O66" s="308" t="s">
        <v>976</v>
      </c>
      <c r="P66" s="308" t="s">
        <v>973</v>
      </c>
      <c r="Q66" s="308"/>
      <c r="U66" s="62"/>
      <c r="V66" s="62"/>
      <c r="W66" s="62"/>
      <c r="X66" s="62"/>
      <c r="Y66" s="62"/>
      <c r="Z66" s="62"/>
    </row>
    <row r="67" spans="1:29">
      <c r="A67" s="163" t="s">
        <v>746</v>
      </c>
      <c r="B67" s="174">
        <f>25/SQRT(B52)</f>
        <v>13.762047064079509</v>
      </c>
      <c r="C67" s="174"/>
      <c r="D67" s="174" t="s">
        <v>746</v>
      </c>
      <c r="E67" s="174">
        <f>25/SQRT(E52)</f>
        <v>13.762047064079509</v>
      </c>
      <c r="F67" s="93"/>
      <c r="G67" s="174" t="s">
        <v>746</v>
      </c>
      <c r="H67" s="174">
        <f>25/SQRT(H52)</f>
        <v>13.325044772225652</v>
      </c>
      <c r="I67" s="93"/>
      <c r="O67" s="308"/>
      <c r="P67" s="308"/>
      <c r="Q67" s="308"/>
      <c r="U67" s="62"/>
      <c r="V67" s="62"/>
      <c r="W67" s="62"/>
      <c r="X67" s="62"/>
      <c r="Y67" s="62"/>
      <c r="Z67" s="62"/>
    </row>
    <row r="68" spans="1:29">
      <c r="A68" s="200" t="s">
        <v>747</v>
      </c>
      <c r="B68" s="174">
        <f>16/SQRT(B52)</f>
        <v>8.807710121010885</v>
      </c>
      <c r="C68" s="174"/>
      <c r="D68" s="199" t="s">
        <v>747</v>
      </c>
      <c r="E68" s="174">
        <f>16/SQRT(E52)</f>
        <v>8.807710121010885</v>
      </c>
      <c r="F68" s="93"/>
      <c r="G68" s="174" t="s">
        <v>747</v>
      </c>
      <c r="H68" s="174">
        <f>16/SQRT(H52)</f>
        <v>8.5280286542244177</v>
      </c>
      <c r="I68" s="93"/>
      <c r="O68" s="308" t="s">
        <v>977</v>
      </c>
      <c r="P68" s="308" t="s">
        <v>974</v>
      </c>
      <c r="Q68" s="308"/>
      <c r="U68" s="62"/>
      <c r="V68" s="62"/>
      <c r="W68" s="62"/>
      <c r="X68" s="62"/>
      <c r="Y68" s="62"/>
      <c r="Z68" s="62"/>
    </row>
    <row r="69" spans="1:29">
      <c r="A69" s="200" t="s">
        <v>748</v>
      </c>
      <c r="B69" s="174">
        <f>(B48-B51-B51)/B50</f>
        <v>36</v>
      </c>
      <c r="C69" s="174"/>
      <c r="D69" s="199" t="s">
        <v>748</v>
      </c>
      <c r="E69" s="174">
        <f>(E48-E51-E51)/E50</f>
        <v>37</v>
      </c>
      <c r="F69" s="93"/>
      <c r="G69" s="174" t="s">
        <v>748</v>
      </c>
      <c r="H69" s="174" t="e">
        <f>(H48-H51-H51)/H50</f>
        <v>#DIV/0!</v>
      </c>
      <c r="I69" s="93"/>
      <c r="O69" s="308"/>
      <c r="P69" s="308"/>
      <c r="Q69" s="308"/>
    </row>
    <row r="70" spans="1:29">
      <c r="A70" s="163" t="s">
        <v>749</v>
      </c>
      <c r="B70" s="174">
        <f>260/SQRT(B52)</f>
        <v>143.12528946642689</v>
      </c>
      <c r="C70" s="174"/>
      <c r="D70" s="174" t="s">
        <v>749</v>
      </c>
      <c r="E70" s="174">
        <f>260/SQRT(E52)</f>
        <v>143.12528946642689</v>
      </c>
      <c r="F70" s="93"/>
      <c r="G70" s="174" t="s">
        <v>749</v>
      </c>
      <c r="H70" s="174">
        <f>260/SQRT(H52)</f>
        <v>138.58046563114678</v>
      </c>
      <c r="I70" s="93"/>
      <c r="N70" s="173"/>
      <c r="O70" s="211" t="s">
        <v>978</v>
      </c>
      <c r="P70" s="173"/>
      <c r="Q70" s="173"/>
      <c r="U70" s="173"/>
      <c r="V70" s="173"/>
      <c r="W70" s="173"/>
      <c r="X70" s="173"/>
      <c r="Y70" s="173"/>
      <c r="Z70" s="173"/>
      <c r="AA70" s="173"/>
    </row>
    <row r="71" spans="1:29" ht="17.25" thickBot="1">
      <c r="A71" s="202" t="s">
        <v>750</v>
      </c>
      <c r="B71" s="94">
        <f>170/SQRT(B52)</f>
        <v>93.581920035740652</v>
      </c>
      <c r="C71" s="94"/>
      <c r="D71" s="201" t="s">
        <v>750</v>
      </c>
      <c r="E71" s="94">
        <f>170/SQRT(E52)</f>
        <v>93.581920035740652</v>
      </c>
      <c r="F71" s="95"/>
      <c r="G71" s="94" t="s">
        <v>750</v>
      </c>
      <c r="H71" s="94">
        <f>170/SQRT(H52)</f>
        <v>90.610304451134425</v>
      </c>
      <c r="I71" s="95"/>
      <c r="N71" s="173"/>
      <c r="O71" s="215" t="s">
        <v>990</v>
      </c>
      <c r="P71" s="173"/>
      <c r="Q71" s="173"/>
      <c r="U71" s="173"/>
      <c r="V71" s="173"/>
      <c r="W71" s="173"/>
      <c r="X71" s="173"/>
      <c r="Y71" s="173"/>
      <c r="Z71" s="173"/>
      <c r="AA71" s="173"/>
    </row>
    <row r="74" spans="1:29" s="173" customFormat="1"/>
    <row r="75" spans="1:29" s="173" customFormat="1"/>
    <row r="76" spans="1:29" ht="16.5" thickBot="1">
      <c r="N76" s="173"/>
      <c r="U76" s="173"/>
      <c r="V76" s="173"/>
      <c r="W76" s="173"/>
      <c r="X76" s="173"/>
      <c r="Y76" s="173"/>
      <c r="Z76" s="173"/>
      <c r="AA76" s="173"/>
    </row>
    <row r="77" spans="1:29" ht="52.5" customHeight="1">
      <c r="A77" s="302" t="s">
        <v>834</v>
      </c>
      <c r="B77" s="303"/>
      <c r="C77" s="304"/>
      <c r="D77" s="302" t="s">
        <v>827</v>
      </c>
      <c r="E77" s="303"/>
      <c r="F77" s="304"/>
      <c r="G77" s="302" t="s">
        <v>826</v>
      </c>
      <c r="H77" s="303"/>
      <c r="I77" s="304"/>
      <c r="N77" s="172" t="s">
        <v>754</v>
      </c>
      <c r="O77" s="173"/>
      <c r="P77" s="173"/>
      <c r="R77" s="55" t="s">
        <v>1031</v>
      </c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30" customHeight="1">
      <c r="A78" s="156" t="s">
        <v>698</v>
      </c>
      <c r="B78" s="157">
        <v>400</v>
      </c>
      <c r="C78" s="158" t="s">
        <v>699</v>
      </c>
      <c r="D78" s="156" t="s">
        <v>698</v>
      </c>
      <c r="E78" s="157">
        <v>350</v>
      </c>
      <c r="F78" s="158" t="s">
        <v>699</v>
      </c>
      <c r="G78" s="156" t="s">
        <v>698</v>
      </c>
      <c r="H78" s="157">
        <v>434</v>
      </c>
      <c r="I78" s="158" t="s">
        <v>699</v>
      </c>
      <c r="J78" s="176"/>
      <c r="K78" s="176"/>
      <c r="L78" s="176"/>
      <c r="N78" s="174" t="s">
        <v>730</v>
      </c>
      <c r="O78" s="174" t="s">
        <v>1029</v>
      </c>
      <c r="P78" s="174" t="s">
        <v>1027</v>
      </c>
      <c r="Q78" s="114" t="s">
        <v>738</v>
      </c>
      <c r="R78" s="174" t="s">
        <v>1030</v>
      </c>
      <c r="S78" s="299" t="s">
        <v>726</v>
      </c>
      <c r="T78" s="300"/>
      <c r="U78" s="300"/>
      <c r="V78" s="300"/>
      <c r="W78" s="300"/>
      <c r="X78" s="300"/>
      <c r="Y78" s="300"/>
      <c r="Z78" s="301"/>
      <c r="AA78" s="173"/>
    </row>
    <row r="79" spans="1:29">
      <c r="A79" s="156" t="s">
        <v>700</v>
      </c>
      <c r="B79" s="157">
        <v>400</v>
      </c>
      <c r="C79" s="158" t="s">
        <v>699</v>
      </c>
      <c r="D79" s="156" t="s">
        <v>700</v>
      </c>
      <c r="E79" s="157">
        <v>350</v>
      </c>
      <c r="F79" s="158" t="s">
        <v>699</v>
      </c>
      <c r="G79" s="156" t="s">
        <v>700</v>
      </c>
      <c r="H79" s="157">
        <v>299</v>
      </c>
      <c r="I79" s="158" t="s">
        <v>699</v>
      </c>
      <c r="J79" s="176"/>
      <c r="K79" s="176"/>
      <c r="L79" s="176"/>
      <c r="N79" s="174" t="s">
        <v>824</v>
      </c>
      <c r="O79" s="150">
        <f>O49</f>
        <v>0</v>
      </c>
      <c r="P79" s="150">
        <f>R49</f>
        <v>0</v>
      </c>
      <c r="Q79" s="177">
        <f t="shared" ref="Q79:Q84" si="18">Q49</f>
        <v>0.85196632717327203</v>
      </c>
      <c r="R79" s="174">
        <f>(O79)-P79*SIN(Q79)</f>
        <v>0</v>
      </c>
      <c r="S79" s="169" t="s">
        <v>739</v>
      </c>
      <c r="T79" s="157">
        <f>H78</f>
        <v>434</v>
      </c>
      <c r="U79" s="116" t="s">
        <v>727</v>
      </c>
      <c r="V79" s="157">
        <f>H79</f>
        <v>299</v>
      </c>
      <c r="W79" s="116" t="s">
        <v>727</v>
      </c>
      <c r="X79" s="157">
        <f>H80</f>
        <v>10</v>
      </c>
      <c r="Y79" s="116" t="s">
        <v>727</v>
      </c>
      <c r="Z79" s="157">
        <f>H81</f>
        <v>15</v>
      </c>
      <c r="AA79" s="176"/>
    </row>
    <row r="80" spans="1:29">
      <c r="A80" s="156" t="s">
        <v>701</v>
      </c>
      <c r="B80" s="157">
        <v>21</v>
      </c>
      <c r="C80" s="158" t="s">
        <v>699</v>
      </c>
      <c r="D80" s="156" t="s">
        <v>701</v>
      </c>
      <c r="E80" s="157">
        <v>12</v>
      </c>
      <c r="F80" s="158" t="s">
        <v>699</v>
      </c>
      <c r="G80" s="156" t="s">
        <v>701</v>
      </c>
      <c r="H80" s="157">
        <v>10</v>
      </c>
      <c r="I80" s="158" t="s">
        <v>699</v>
      </c>
      <c r="J80" s="176"/>
      <c r="K80" s="176"/>
      <c r="L80" s="176"/>
      <c r="N80" s="174" t="s">
        <v>833</v>
      </c>
      <c r="O80" s="150">
        <f>O50</f>
        <v>0</v>
      </c>
      <c r="P80" s="150">
        <f>R50</f>
        <v>0</v>
      </c>
      <c r="Q80" s="177">
        <f t="shared" si="18"/>
        <v>0.85196632717327203</v>
      </c>
      <c r="R80" s="174">
        <f>(O80+O79)-P80*SIN(Q80)</f>
        <v>0</v>
      </c>
      <c r="S80" s="169" t="s">
        <v>739</v>
      </c>
      <c r="T80" s="157">
        <f>T79</f>
        <v>434</v>
      </c>
      <c r="U80" s="116" t="s">
        <v>727</v>
      </c>
      <c r="V80" s="157">
        <f>V79</f>
        <v>299</v>
      </c>
      <c r="W80" s="116" t="s">
        <v>727</v>
      </c>
      <c r="X80" s="157">
        <f>X79</f>
        <v>10</v>
      </c>
      <c r="Y80" s="116" t="s">
        <v>727</v>
      </c>
      <c r="Z80" s="157">
        <f>Z79</f>
        <v>15</v>
      </c>
      <c r="AA80" s="176"/>
    </row>
    <row r="81" spans="1:29">
      <c r="A81" s="156" t="s">
        <v>702</v>
      </c>
      <c r="B81" s="157">
        <v>22</v>
      </c>
      <c r="C81" s="158" t="s">
        <v>699</v>
      </c>
      <c r="D81" s="156" t="s">
        <v>702</v>
      </c>
      <c r="E81" s="157">
        <v>19</v>
      </c>
      <c r="F81" s="158" t="s">
        <v>699</v>
      </c>
      <c r="G81" s="156" t="s">
        <v>702</v>
      </c>
      <c r="H81" s="157">
        <v>15</v>
      </c>
      <c r="I81" s="158" t="s">
        <v>699</v>
      </c>
      <c r="J81" s="176"/>
      <c r="K81" s="176"/>
      <c r="L81" s="176"/>
      <c r="N81" s="174" t="s">
        <v>586</v>
      </c>
      <c r="O81" s="150">
        <f>1.1*M3*$E$30</f>
        <v>96.70320000000001</v>
      </c>
      <c r="P81" s="150">
        <f>1.1*O81/SIN(Q51)</f>
        <v>141.3457535267307</v>
      </c>
      <c r="Q81" s="177">
        <f t="shared" si="18"/>
        <v>0.85196632717327203</v>
      </c>
      <c r="R81" s="174">
        <f>(O81+O80+O79)-P81*SIN(Q81)</f>
        <v>-9.6703200000000038</v>
      </c>
      <c r="S81" s="169" t="s">
        <v>739</v>
      </c>
      <c r="T81" s="157">
        <f>E78</f>
        <v>350</v>
      </c>
      <c r="U81" s="116" t="s">
        <v>727</v>
      </c>
      <c r="V81" s="157">
        <f>E79</f>
        <v>350</v>
      </c>
      <c r="W81" s="116" t="s">
        <v>727</v>
      </c>
      <c r="X81" s="157">
        <f>E80</f>
        <v>12</v>
      </c>
      <c r="Y81" s="116" t="s">
        <v>727</v>
      </c>
      <c r="Z81" s="157">
        <f>E81</f>
        <v>19</v>
      </c>
      <c r="AA81" s="176"/>
    </row>
    <row r="82" spans="1:29">
      <c r="A82" s="156" t="s">
        <v>703</v>
      </c>
      <c r="B82" s="62">
        <v>3.3</v>
      </c>
      <c r="C82" s="158" t="s">
        <v>718</v>
      </c>
      <c r="D82" s="156" t="s">
        <v>703</v>
      </c>
      <c r="E82" s="62">
        <v>3.3</v>
      </c>
      <c r="F82" s="158" t="s">
        <v>718</v>
      </c>
      <c r="G82" s="156" t="s">
        <v>703</v>
      </c>
      <c r="H82" s="62">
        <v>3.52</v>
      </c>
      <c r="I82" s="158" t="s">
        <v>718</v>
      </c>
      <c r="N82" s="174" t="s">
        <v>832</v>
      </c>
      <c r="O82" s="150">
        <f>1.1*M3*$E$30</f>
        <v>96.70320000000001</v>
      </c>
      <c r="P82" s="150">
        <f>1.1*O82/SIN(Q52)</f>
        <v>141.3457535267307</v>
      </c>
      <c r="Q82" s="177">
        <f t="shared" si="18"/>
        <v>0.85196632717327203</v>
      </c>
      <c r="R82" s="174">
        <f>(O82+O81+O80+O79)-P82*SIN(Q82)</f>
        <v>87.032880000000006</v>
      </c>
      <c r="S82" s="169" t="s">
        <v>739</v>
      </c>
      <c r="T82" s="157">
        <f t="shared" ref="T82:Z82" si="19">T81</f>
        <v>350</v>
      </c>
      <c r="U82" s="116" t="str">
        <f t="shared" si="19"/>
        <v>x</v>
      </c>
      <c r="V82" s="157">
        <f t="shared" si="19"/>
        <v>350</v>
      </c>
      <c r="W82" s="116" t="str">
        <f t="shared" si="19"/>
        <v>x</v>
      </c>
      <c r="X82" s="157">
        <f t="shared" si="19"/>
        <v>12</v>
      </c>
      <c r="Y82" s="116" t="str">
        <f t="shared" si="19"/>
        <v>x</v>
      </c>
      <c r="Z82" s="157">
        <f t="shared" si="19"/>
        <v>19</v>
      </c>
      <c r="AA82" s="176"/>
    </row>
    <row r="83" spans="1:29" ht="16.5">
      <c r="A83" s="159"/>
      <c r="B83" s="160"/>
      <c r="C83" s="161"/>
      <c r="D83" s="156"/>
      <c r="E83" s="62"/>
      <c r="F83" s="158"/>
      <c r="G83" s="156"/>
      <c r="H83" s="62"/>
      <c r="I83" s="158"/>
      <c r="N83" s="174" t="s">
        <v>831</v>
      </c>
      <c r="O83" s="150">
        <f>1.1*M3*$B$30</f>
        <v>109.143936</v>
      </c>
      <c r="P83" s="150">
        <f>1.1*O83/SIN(Q53)</f>
        <v>159.52969371016957</v>
      </c>
      <c r="Q83" s="177">
        <f t="shared" si="18"/>
        <v>0.85196632717327203</v>
      </c>
      <c r="R83" s="174">
        <f>(O83+O82+O81+O80+O79)-P83*SIN(Q83)</f>
        <v>182.49200640000001</v>
      </c>
      <c r="S83" s="169" t="s">
        <v>739</v>
      </c>
      <c r="T83" s="157">
        <f>B78</f>
        <v>400</v>
      </c>
      <c r="U83" s="116" t="str">
        <f>U82</f>
        <v>x</v>
      </c>
      <c r="V83" s="157">
        <f>B79</f>
        <v>400</v>
      </c>
      <c r="W83" s="116" t="str">
        <f>W82</f>
        <v>x</v>
      </c>
      <c r="X83" s="157">
        <f>B80</f>
        <v>21</v>
      </c>
      <c r="Y83" s="116" t="str">
        <f>Y82</f>
        <v>x</v>
      </c>
      <c r="Z83" s="157">
        <f>B81</f>
        <v>22</v>
      </c>
      <c r="AA83" s="176"/>
    </row>
    <row r="84" spans="1:29" ht="16.5">
      <c r="A84" s="162" t="s">
        <v>704</v>
      </c>
      <c r="B84" s="160"/>
      <c r="C84" s="161"/>
      <c r="D84" s="162" t="s">
        <v>704</v>
      </c>
      <c r="E84" s="160"/>
      <c r="F84" s="161"/>
      <c r="G84" s="162" t="s">
        <v>704</v>
      </c>
      <c r="H84" s="160"/>
      <c r="I84" s="161"/>
      <c r="N84" s="174" t="s">
        <v>830</v>
      </c>
      <c r="O84" s="150">
        <f>1.1*M3*$B$30</f>
        <v>109.143936</v>
      </c>
      <c r="P84" s="150">
        <f>1.1*O84/SIN(Q54)</f>
        <v>159.52969371016957</v>
      </c>
      <c r="Q84" s="177">
        <f t="shared" si="18"/>
        <v>0.85196632717327203</v>
      </c>
      <c r="R84" s="174">
        <f>(O84+O83+O82+O81+O80+O79)-P84*SIN(Q84)</f>
        <v>291.63594240000009</v>
      </c>
      <c r="S84" s="169" t="s">
        <v>739</v>
      </c>
      <c r="T84" s="157">
        <f>T83</f>
        <v>400</v>
      </c>
      <c r="U84" s="116" t="str">
        <f>U83</f>
        <v>x</v>
      </c>
      <c r="V84" s="157">
        <f>V83</f>
        <v>400</v>
      </c>
      <c r="W84" s="116" t="str">
        <f>W83</f>
        <v>x</v>
      </c>
      <c r="X84" s="157">
        <f>X83</f>
        <v>21</v>
      </c>
      <c r="Y84" s="116" t="str">
        <f>Y83</f>
        <v>x</v>
      </c>
      <c r="Z84" s="157">
        <f>Z83</f>
        <v>22</v>
      </c>
      <c r="AA84" s="176"/>
    </row>
    <row r="85" spans="1:29">
      <c r="A85" s="163" t="s">
        <v>705</v>
      </c>
      <c r="B85" s="174" t="s">
        <v>706</v>
      </c>
      <c r="C85" s="93"/>
      <c r="D85" s="163" t="s">
        <v>705</v>
      </c>
      <c r="E85" s="174" t="s">
        <v>706</v>
      </c>
      <c r="F85" s="93"/>
      <c r="G85" s="163" t="s">
        <v>705</v>
      </c>
      <c r="H85" s="174" t="s">
        <v>706</v>
      </c>
      <c r="I85" s="9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8">
      <c r="A86" s="163" t="s">
        <v>707</v>
      </c>
      <c r="B86" s="174">
        <f>B79*B81*2+(B78-B81-B81)*B80</f>
        <v>25076</v>
      </c>
      <c r="C86" s="93" t="s">
        <v>708</v>
      </c>
      <c r="D86" s="163" t="s">
        <v>707</v>
      </c>
      <c r="E86" s="174">
        <f>E79*E81*2+(E78-E81-E81)*E80</f>
        <v>17044</v>
      </c>
      <c r="F86" s="93" t="s">
        <v>708</v>
      </c>
      <c r="G86" s="163" t="s">
        <v>707</v>
      </c>
      <c r="H86" s="174">
        <f>H79*H81*2+(H78-H81-H81)*H80</f>
        <v>13010</v>
      </c>
      <c r="I86" s="93" t="s">
        <v>708</v>
      </c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8.75" customHeight="1">
      <c r="A87" s="163" t="s">
        <v>709</v>
      </c>
      <c r="B87" s="174">
        <f>(B80*(B78-B81-B81)^3)/12+2*(B79*B81*B81*B81/12+B79*B81*(B78*0.5-0.5*B81)^2)</f>
        <v>708355994.66666663</v>
      </c>
      <c r="C87" s="93" t="s">
        <v>710</v>
      </c>
      <c r="D87" s="163" t="s">
        <v>709</v>
      </c>
      <c r="E87" s="174">
        <f>(E80*(E78-E81-E81)^3)/12+2*(E79*E81*E81*E81/12+E79*E81*(E78*0.5-0.5*E81)^2)</f>
        <v>395061761.33333331</v>
      </c>
      <c r="F87" s="93" t="s">
        <v>710</v>
      </c>
      <c r="G87" s="163" t="s">
        <v>709</v>
      </c>
      <c r="H87" s="174">
        <f>(H80*(H78-H81-H81)^3)/12+2*(H79*H81*H81*H81/12+H79*H81*(H78*0.5-0.5*H81)^2)</f>
        <v>448813116.66666669</v>
      </c>
      <c r="I87" s="93" t="s">
        <v>710</v>
      </c>
      <c r="N87" s="172" t="s">
        <v>755</v>
      </c>
      <c r="O87" s="173"/>
      <c r="P87" s="173"/>
      <c r="Q87" s="173"/>
      <c r="R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8.75">
      <c r="A88" s="163" t="s">
        <v>711</v>
      </c>
      <c r="B88" s="174">
        <f>(B78-B81-B81)*B80*B80*B80/12+B81*B79*B79*B79*2/12</f>
        <v>234941409.66666666</v>
      </c>
      <c r="C88" s="93" t="s">
        <v>710</v>
      </c>
      <c r="D88" s="163" t="s">
        <v>711</v>
      </c>
      <c r="E88" s="174">
        <f>(E78-E81-E81)*E80*E80*E80/12+E81*E79*E79*E79*2/12</f>
        <v>135815761.33333334</v>
      </c>
      <c r="F88" s="93" t="s">
        <v>710</v>
      </c>
      <c r="G88" s="163" t="s">
        <v>711</v>
      </c>
      <c r="H88" s="174">
        <f>(H78-H81-H81)*H80*H80*H80/12+H81*H79*H79*H79*2/12</f>
        <v>66860914.166666664</v>
      </c>
      <c r="I88" s="93" t="s">
        <v>710</v>
      </c>
      <c r="N88" s="174" t="s">
        <v>730</v>
      </c>
      <c r="O88" s="174" t="s">
        <v>1032</v>
      </c>
      <c r="P88" s="174" t="s">
        <v>742</v>
      </c>
      <c r="Q88" s="174" t="s">
        <v>1034</v>
      </c>
      <c r="R88" s="174" t="s">
        <v>1033</v>
      </c>
      <c r="S88" s="224" t="s">
        <v>741</v>
      </c>
      <c r="T88" s="228" t="s">
        <v>1022</v>
      </c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8">
      <c r="A89" s="163" t="s">
        <v>712</v>
      </c>
      <c r="B89" s="174">
        <f>(B78-B81-B81)*B80*B80*B80/3+B79*B81*B81*B81/3*2</f>
        <v>3938438.6666666665</v>
      </c>
      <c r="C89" s="93" t="s">
        <v>710</v>
      </c>
      <c r="D89" s="163" t="s">
        <v>712</v>
      </c>
      <c r="E89" s="174">
        <f>(E78-E81-E81)*E80*E80*E80/3+E79*E81*E81*E81/3*2</f>
        <v>1780145.3333333333</v>
      </c>
      <c r="F89" s="93" t="s">
        <v>710</v>
      </c>
      <c r="G89" s="163" t="s">
        <v>712</v>
      </c>
      <c r="H89" s="174">
        <f>(H78-H81-H81)*H80*H80*H80/3+H79*H81*H81*H81/3*2</f>
        <v>807416.66666666663</v>
      </c>
      <c r="I89" s="93" t="s">
        <v>710</v>
      </c>
      <c r="N89" s="174" t="s">
        <v>824</v>
      </c>
      <c r="O89" s="174">
        <f>0.5*O95/SIN($Q$49)/SQRT((H87/10000)/(H86/100))*SQRT(H82/N6/PI()/PI())</f>
        <v>0.18924572303569032</v>
      </c>
      <c r="P89" s="174">
        <f>IF(O89&lt;=1.5,(0.658^(O89*O89))*H82*H86/100,0.877/O89/O89*H82*H86/100)</f>
        <v>451.13852203583718</v>
      </c>
      <c r="Q89" s="174">
        <f>IF(AND(H100&lt;H102,H103&lt;H105),H98,0)</f>
        <v>0</v>
      </c>
      <c r="R89" s="174">
        <f t="shared" ref="R89:R94" si="20">P89</f>
        <v>451.13852203583718</v>
      </c>
      <c r="S89" s="222">
        <f t="shared" ref="S89:S94" si="21">R79/0.85/R89</f>
        <v>0</v>
      </c>
      <c r="T89" s="228" t="str">
        <f t="shared" ref="T89:T94" si="22">IF(S89&lt;1,"OK","NG")</f>
        <v>OK</v>
      </c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8">
      <c r="A90" s="163" t="s">
        <v>713</v>
      </c>
      <c r="B90" s="174">
        <f>B87/(B78/2)</f>
        <v>3541779.9733333332</v>
      </c>
      <c r="C90" s="93" t="s">
        <v>714</v>
      </c>
      <c r="D90" s="163" t="s">
        <v>713</v>
      </c>
      <c r="E90" s="174">
        <f>E87/(E78/2)</f>
        <v>2257495.7790476191</v>
      </c>
      <c r="F90" s="93" t="s">
        <v>714</v>
      </c>
      <c r="G90" s="163" t="s">
        <v>713</v>
      </c>
      <c r="H90" s="174">
        <f>H87/(H78/2)</f>
        <v>2068263.2104454685</v>
      </c>
      <c r="I90" s="93" t="s">
        <v>714</v>
      </c>
      <c r="N90" s="174" t="s">
        <v>833</v>
      </c>
      <c r="O90" s="174">
        <f>0.5*O95/SIN($Q$50)/SQRT((H87/10000)/(H86/100))*SQRT(H82/N6/PI()/PI())</f>
        <v>0.18924572303569032</v>
      </c>
      <c r="P90" s="174">
        <f>IF(O90&lt;=1.5,(0.658^(O90*O90))*H82*H86/100,0.877/O90/O90*H82*H86/100)</f>
        <v>451.13852203583718</v>
      </c>
      <c r="Q90" s="174">
        <f>IF(AND(H100&lt;H102,H103&lt;H105),H98,0)</f>
        <v>0</v>
      </c>
      <c r="R90" s="174">
        <f t="shared" si="20"/>
        <v>451.13852203583718</v>
      </c>
      <c r="S90" s="222">
        <f t="shared" si="21"/>
        <v>0</v>
      </c>
      <c r="T90" s="228" t="str">
        <f t="shared" si="22"/>
        <v>OK</v>
      </c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8">
      <c r="A91" s="163" t="s">
        <v>715</v>
      </c>
      <c r="B91" s="174">
        <f>B88/(B79/2)</f>
        <v>1174707.0483333333</v>
      </c>
      <c r="C91" s="93" t="s">
        <v>714</v>
      </c>
      <c r="D91" s="163" t="s">
        <v>715</v>
      </c>
      <c r="E91" s="174">
        <f>E88/(E79/2)</f>
        <v>776090.06476190477</v>
      </c>
      <c r="F91" s="93" t="s">
        <v>714</v>
      </c>
      <c r="G91" s="163" t="s">
        <v>715</v>
      </c>
      <c r="H91" s="174">
        <f>H88/(H79/2)</f>
        <v>447230.19509476027</v>
      </c>
      <c r="I91" s="93" t="s">
        <v>714</v>
      </c>
      <c r="N91" s="174" t="s">
        <v>586</v>
      </c>
      <c r="O91" s="207">
        <f>0.5*O95/SIN($Q$51)/SQRT((E87/10000)/(E86/100))*SQRT(E82/N6/PI()/PI())</f>
        <v>0.22354198263781455</v>
      </c>
      <c r="P91" s="150">
        <f>IF(O91&lt;=1.5,(0.658^(O91*O91))*E82*E86/100,0.877/O91/O91*E82*E86/100)</f>
        <v>550.81026882111667</v>
      </c>
      <c r="Q91" s="174">
        <f>IF(AND(E96&lt;E98,E99&lt;E101),E94,0)</f>
        <v>0</v>
      </c>
      <c r="R91" s="174">
        <f t="shared" si="20"/>
        <v>550.81026882111667</v>
      </c>
      <c r="S91" s="253">
        <f t="shared" si="21"/>
        <v>-2.0654747565206206E-2</v>
      </c>
      <c r="T91" s="228" t="str">
        <f t="shared" si="22"/>
        <v>OK</v>
      </c>
    </row>
    <row r="92" spans="1:29" ht="18">
      <c r="A92" s="163" t="s">
        <v>716</v>
      </c>
      <c r="B92" s="174">
        <f>B79*B78*B78*0.25-(B79-B80)*((B78-2*B81)^2)*0.25</f>
        <v>3991764</v>
      </c>
      <c r="C92" s="93" t="s">
        <v>714</v>
      </c>
      <c r="D92" s="163" t="s">
        <v>716</v>
      </c>
      <c r="E92" s="174">
        <f>E79*E78*E78*0.25-(E79-E80)*(E78-2*E81)^2*0.25</f>
        <v>2493182</v>
      </c>
      <c r="F92" s="93" t="s">
        <v>714</v>
      </c>
      <c r="G92" s="163" t="s">
        <v>716</v>
      </c>
      <c r="H92" s="174">
        <f>H79*H78*H78*0.25-(H79-H80)*(H78-2*H81)^2*0.25</f>
        <v>2287255</v>
      </c>
      <c r="I92" s="93" t="s">
        <v>714</v>
      </c>
      <c r="N92" s="174" t="s">
        <v>832</v>
      </c>
      <c r="O92" s="207">
        <f>0.5*O95/SIN($Q$52)/SQRT((E87/10000)/(E86/100))*SQRT(E82/N6/PI()/PI())</f>
        <v>0.22354198263781455</v>
      </c>
      <c r="P92" s="150">
        <f>IF(O92&lt;=1.5,(0.658^(O92*O92))*E82*E86/100,0.877/O92/O92*E82*E86/100)</f>
        <v>550.81026882111667</v>
      </c>
      <c r="Q92" s="174">
        <f>Q91</f>
        <v>0</v>
      </c>
      <c r="R92" s="174">
        <f t="shared" si="20"/>
        <v>550.81026882111667</v>
      </c>
      <c r="S92" s="228">
        <f t="shared" si="21"/>
        <v>0.18589272808685578</v>
      </c>
      <c r="T92" s="228" t="str">
        <f t="shared" si="22"/>
        <v>OK</v>
      </c>
    </row>
    <row r="93" spans="1:29" ht="18.75" thickBot="1">
      <c r="A93" s="165" t="s">
        <v>717</v>
      </c>
      <c r="B93" s="146">
        <f>B81*B79*B79*0.25*2+(B78-2*B81)*B80*B80*0.25</f>
        <v>1799249</v>
      </c>
      <c r="C93" s="166" t="s">
        <v>714</v>
      </c>
      <c r="D93" s="165" t="s">
        <v>717</v>
      </c>
      <c r="E93" s="146">
        <f>E81*E79*E79*0.25*2+(E78-2*E81)*E80*E80*0.25</f>
        <v>1174982</v>
      </c>
      <c r="F93" s="166" t="s">
        <v>714</v>
      </c>
      <c r="G93" s="165" t="s">
        <v>717</v>
      </c>
      <c r="H93" s="146">
        <f>H81*H79*H79*0.25*2+(H78-2*H81)*H80*H80*0.25</f>
        <v>680607.5</v>
      </c>
      <c r="I93" s="166" t="s">
        <v>714</v>
      </c>
      <c r="N93" s="174" t="s">
        <v>831</v>
      </c>
      <c r="O93" s="207">
        <f>0.5*O95/SIN($Q$53)/SQRT((B87/10000)/(B86/100))*SQRT(B82/N6/PI()/PI())</f>
        <v>0.20249260958379547</v>
      </c>
      <c r="P93" s="150">
        <f>IF(O93&lt;=1.5,(0.658^(O93*O93))*B82*B86/100,0.877/O93/O93*B82*B86/100)</f>
        <v>813.42753727672073</v>
      </c>
      <c r="Q93" s="174">
        <f>IF(AND(B96&lt;B98,B99&lt;B101),B94,0)</f>
        <v>0</v>
      </c>
      <c r="R93" s="174">
        <f t="shared" si="20"/>
        <v>813.42753727672073</v>
      </c>
      <c r="S93" s="228">
        <f t="shared" si="21"/>
        <v>0.26394050886994902</v>
      </c>
      <c r="T93" s="228" t="str">
        <f t="shared" si="22"/>
        <v>OK</v>
      </c>
    </row>
    <row r="94" spans="1:29">
      <c r="A94" s="167" t="s">
        <v>719</v>
      </c>
      <c r="B94" s="168">
        <f>B92*B82/1000</f>
        <v>13172.821199999998</v>
      </c>
      <c r="C94" s="99" t="s">
        <v>721</v>
      </c>
      <c r="D94" s="167" t="s">
        <v>719</v>
      </c>
      <c r="E94" s="168">
        <f>E92*E82/1000</f>
        <v>8227.5005999999994</v>
      </c>
      <c r="F94" s="99" t="s">
        <v>721</v>
      </c>
      <c r="G94" s="167" t="s">
        <v>719</v>
      </c>
      <c r="H94" s="168">
        <f>H92*H82/1000</f>
        <v>8051.1376</v>
      </c>
      <c r="I94" s="99" t="s">
        <v>721</v>
      </c>
      <c r="N94" s="174" t="s">
        <v>830</v>
      </c>
      <c r="O94" s="207">
        <f>0.5*O95/SIN($Q$54)/SQRT((B87/10000)/(B86/100))*SQRT(B82/N6/PI()/PI())</f>
        <v>0.20249260958379547</v>
      </c>
      <c r="P94" s="150">
        <f>IF(O94&lt;=1.5,(0.658^(O94*O94))*B82*B86/100,0.877/O94/O94*B82*B86/100)</f>
        <v>813.42753727672073</v>
      </c>
      <c r="Q94" s="174">
        <f>Q93</f>
        <v>0</v>
      </c>
      <c r="R94" s="174">
        <f t="shared" si="20"/>
        <v>813.42753727672073</v>
      </c>
      <c r="S94" s="228">
        <f t="shared" si="21"/>
        <v>0.42179677104927243</v>
      </c>
      <c r="T94" s="228" t="str">
        <f t="shared" si="22"/>
        <v>OK</v>
      </c>
    </row>
    <row r="95" spans="1:29" ht="17.25" thickBot="1">
      <c r="A95" s="165" t="s">
        <v>720</v>
      </c>
      <c r="B95" s="146">
        <f>0.6*(B78-B81-B81)*B80*B82/10/10</f>
        <v>148.02479999999997</v>
      </c>
      <c r="C95" s="166" t="s">
        <v>722</v>
      </c>
      <c r="D95" s="165" t="s">
        <v>720</v>
      </c>
      <c r="E95" s="146">
        <f>0.6*(E78-E81-E81)*E80*E82/10/10</f>
        <v>74.131199999999978</v>
      </c>
      <c r="F95" s="166" t="s">
        <v>722</v>
      </c>
      <c r="G95" s="165" t="s">
        <v>720</v>
      </c>
      <c r="H95" s="146">
        <f>0.6*(H78-H81-H81)*H80*H82/10/10</f>
        <v>85.324799999999996</v>
      </c>
      <c r="I95" s="166" t="s">
        <v>722</v>
      </c>
      <c r="N95" s="238" t="s">
        <v>1041</v>
      </c>
      <c r="O95" s="238">
        <v>400</v>
      </c>
    </row>
    <row r="96" spans="1:29">
      <c r="A96" s="205" t="s">
        <v>745</v>
      </c>
      <c r="B96" s="168">
        <f>B79*0.5/B81</f>
        <v>9.0909090909090917</v>
      </c>
      <c r="C96" s="168"/>
      <c r="D96" s="204" t="s">
        <v>745</v>
      </c>
      <c r="E96" s="168">
        <f>E79*0.5/E81</f>
        <v>9.2105263157894743</v>
      </c>
      <c r="F96" s="99"/>
      <c r="G96" s="168" t="s">
        <v>745</v>
      </c>
      <c r="H96" s="168">
        <f>H79*0.5/H81</f>
        <v>9.9666666666666668</v>
      </c>
      <c r="I96" s="99"/>
    </row>
    <row r="97" spans="1:17">
      <c r="A97" s="163" t="s">
        <v>746</v>
      </c>
      <c r="B97" s="174">
        <f>25/SQRT(B82)</f>
        <v>13.762047064079509</v>
      </c>
      <c r="C97" s="174"/>
      <c r="D97" s="174" t="s">
        <v>746</v>
      </c>
      <c r="E97" s="174">
        <f>25/SQRT(E82)</f>
        <v>13.762047064079509</v>
      </c>
      <c r="F97" s="93"/>
      <c r="G97" s="174" t="s">
        <v>746</v>
      </c>
      <c r="H97" s="174">
        <f>25/SQRT(H82)</f>
        <v>13.325044772225652</v>
      </c>
      <c r="I97" s="93"/>
      <c r="O97" s="308" t="s">
        <v>976</v>
      </c>
      <c r="P97" s="308" t="s">
        <v>973</v>
      </c>
      <c r="Q97" s="308"/>
    </row>
    <row r="98" spans="1:17">
      <c r="A98" s="200" t="s">
        <v>747</v>
      </c>
      <c r="B98" s="174">
        <f>16/SQRT(B82)</f>
        <v>8.807710121010885</v>
      </c>
      <c r="C98" s="174"/>
      <c r="D98" s="199" t="s">
        <v>747</v>
      </c>
      <c r="E98" s="174">
        <f>16/SQRT(E82)</f>
        <v>8.807710121010885</v>
      </c>
      <c r="F98" s="93"/>
      <c r="G98" s="174" t="s">
        <v>747</v>
      </c>
      <c r="H98" s="174">
        <f>16/SQRT(H82)</f>
        <v>8.5280286542244177</v>
      </c>
      <c r="I98" s="93"/>
      <c r="O98" s="308"/>
      <c r="P98" s="308"/>
      <c r="Q98" s="308"/>
    </row>
    <row r="99" spans="1:17">
      <c r="A99" s="200" t="s">
        <v>748</v>
      </c>
      <c r="B99" s="174">
        <f>(B78-B81-B81)/B80</f>
        <v>16.952380952380953</v>
      </c>
      <c r="C99" s="174"/>
      <c r="D99" s="199" t="s">
        <v>748</v>
      </c>
      <c r="E99" s="174">
        <f>(E78-E81-E81)/E80</f>
        <v>26</v>
      </c>
      <c r="F99" s="93"/>
      <c r="G99" s="174" t="s">
        <v>748</v>
      </c>
      <c r="H99" s="174">
        <f>(H78-H81-H81)/H80</f>
        <v>40.4</v>
      </c>
      <c r="I99" s="93"/>
      <c r="O99" s="308" t="s">
        <v>977</v>
      </c>
      <c r="P99" s="308" t="s">
        <v>974</v>
      </c>
      <c r="Q99" s="308"/>
    </row>
    <row r="100" spans="1:17">
      <c r="A100" s="163" t="s">
        <v>749</v>
      </c>
      <c r="B100" s="174">
        <f>260/SQRT(B82)</f>
        <v>143.12528946642689</v>
      </c>
      <c r="C100" s="174"/>
      <c r="D100" s="174" t="s">
        <v>749</v>
      </c>
      <c r="E100" s="174">
        <f>260/SQRT(E82)</f>
        <v>143.12528946642689</v>
      </c>
      <c r="F100" s="93"/>
      <c r="G100" s="174" t="s">
        <v>749</v>
      </c>
      <c r="H100" s="174">
        <f>260/SQRT(H82)</f>
        <v>138.58046563114678</v>
      </c>
      <c r="I100" s="93"/>
      <c r="O100" s="308"/>
      <c r="P100" s="308"/>
      <c r="Q100" s="308"/>
    </row>
    <row r="101" spans="1:17" ht="16.5" thickBot="1">
      <c r="A101" s="202" t="s">
        <v>750</v>
      </c>
      <c r="B101" s="94">
        <f>170/SQRT(B82)</f>
        <v>93.581920035740652</v>
      </c>
      <c r="C101" s="94"/>
      <c r="D101" s="201" t="s">
        <v>750</v>
      </c>
      <c r="E101" s="94">
        <f>170/SQRT(E82)</f>
        <v>93.581920035740652</v>
      </c>
      <c r="F101" s="95"/>
      <c r="G101" s="94" t="s">
        <v>750</v>
      </c>
      <c r="H101" s="94">
        <f>170/SQRT(H82)</f>
        <v>90.610304451134425</v>
      </c>
      <c r="I101" s="95"/>
      <c r="O101" s="211" t="s">
        <v>978</v>
      </c>
      <c r="P101" s="173"/>
      <c r="Q101" s="173"/>
    </row>
    <row r="102" spans="1:17" ht="16.5">
      <c r="O102" s="215" t="s">
        <v>990</v>
      </c>
      <c r="P102" s="173"/>
      <c r="Q102" s="173"/>
    </row>
  </sheetData>
  <mergeCells count="28">
    <mergeCell ref="O97:O98"/>
    <mergeCell ref="P97:Q98"/>
    <mergeCell ref="O99:O100"/>
    <mergeCell ref="P99:Q100"/>
    <mergeCell ref="O66:O67"/>
    <mergeCell ref="P66:Q67"/>
    <mergeCell ref="O68:O69"/>
    <mergeCell ref="P68:Q69"/>
    <mergeCell ref="T5:U5"/>
    <mergeCell ref="T6:U6"/>
    <mergeCell ref="O38:O39"/>
    <mergeCell ref="P38:Q39"/>
    <mergeCell ref="U10:V11"/>
    <mergeCell ref="U12:V12"/>
    <mergeCell ref="S78:Z78"/>
    <mergeCell ref="A77:C77"/>
    <mergeCell ref="D77:F77"/>
    <mergeCell ref="A12:C12"/>
    <mergeCell ref="D12:F12"/>
    <mergeCell ref="W12:AD12"/>
    <mergeCell ref="A47:C47"/>
    <mergeCell ref="D47:F47"/>
    <mergeCell ref="T48:AA48"/>
    <mergeCell ref="G12:I12"/>
    <mergeCell ref="G47:I47"/>
    <mergeCell ref="G77:I77"/>
    <mergeCell ref="O40:O41"/>
    <mergeCell ref="P40:Q41"/>
  </mergeCells>
  <phoneticPr fontId="11" type="noConversion"/>
  <pageMargins left="0.7" right="0.7" top="0.75" bottom="0.75" header="0.3" footer="0.3"/>
  <pageSetup paperSize="9" orientation="portrait" r:id="rId1"/>
  <ignoredErrors>
    <ignoredError sqref="Q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25"/>
  <sheetViews>
    <sheetView topLeftCell="A67" zoomScale="80" zoomScaleNormal="80" workbookViewId="0">
      <selection activeCell="D8" sqref="D8"/>
    </sheetView>
  </sheetViews>
  <sheetFormatPr defaultColWidth="9" defaultRowHeight="15.75"/>
  <cols>
    <col min="1" max="1" width="11" style="173" bestFit="1" customWidth="1"/>
    <col min="2" max="2" width="22.125" style="173" customWidth="1"/>
    <col min="3" max="3" width="25.75" style="173" customWidth="1"/>
    <col min="4" max="4" width="21.5" style="173" bestFit="1" customWidth="1"/>
    <col min="5" max="5" width="21.625" style="173" bestFit="1" customWidth="1"/>
    <col min="6" max="6" width="21.25" style="173" customWidth="1"/>
    <col min="7" max="7" width="22.875" style="173" bestFit="1" customWidth="1"/>
    <col min="8" max="8" width="21.375" style="173" customWidth="1"/>
    <col min="9" max="9" width="9.875" style="173" customWidth="1"/>
    <col min="10" max="10" width="20.125" style="173" customWidth="1"/>
    <col min="11" max="11" width="17" style="173" customWidth="1"/>
    <col min="12" max="12" width="10.5" style="173" bestFit="1" customWidth="1"/>
    <col min="13" max="14" width="22.75" style="173" customWidth="1"/>
    <col min="15" max="15" width="23.75" style="173" customWidth="1"/>
    <col min="16" max="16" width="20.25" style="173" customWidth="1"/>
    <col min="17" max="17" width="10.125" style="173" customWidth="1"/>
    <col min="18" max="18" width="11.25" style="173" customWidth="1"/>
    <col min="19" max="19" width="9.625" style="173" customWidth="1"/>
    <col min="20" max="20" width="18.625" style="173" customWidth="1"/>
    <col min="21" max="21" width="12.25" style="173" customWidth="1"/>
    <col min="22" max="16384" width="9" style="173"/>
  </cols>
  <sheetData>
    <row r="1" spans="1:22" ht="16.5">
      <c r="A1" s="174" t="str">
        <f>EBF!A1</f>
        <v>Story</v>
      </c>
      <c r="B1" s="174" t="str">
        <f>EBF!B1</f>
        <v>lateral force (Tf)</v>
      </c>
      <c r="C1" s="174" t="str">
        <f>EBF!C1</f>
        <v>cumulative lateral force (Tf)</v>
      </c>
      <c r="D1" s="174" t="s">
        <v>756</v>
      </c>
      <c r="E1" s="174" t="str">
        <f>EBF!E1</f>
        <v>axial force of brace (Tf)</v>
      </c>
      <c r="G1" s="234" t="s">
        <v>1043</v>
      </c>
      <c r="H1" s="242" t="s">
        <v>935</v>
      </c>
      <c r="J1" s="176" t="s">
        <v>1052</v>
      </c>
      <c r="K1" s="176"/>
      <c r="L1" s="176"/>
    </row>
    <row r="2" spans="1:22" ht="16.5">
      <c r="A2" s="174" t="s">
        <v>824</v>
      </c>
      <c r="B2" s="195">
        <v>0</v>
      </c>
      <c r="C2" s="177">
        <f>B2</f>
        <v>0</v>
      </c>
      <c r="D2" s="177">
        <f t="shared" ref="D2:D7" si="0">C2/4</f>
        <v>0</v>
      </c>
      <c r="E2" s="177">
        <f t="shared" ref="E2:E3" si="1">D2/COS(G2)/2</f>
        <v>0</v>
      </c>
      <c r="G2" s="239">
        <f>ATAN(4/4)</f>
        <v>0.78539816339744828</v>
      </c>
      <c r="H2" s="210">
        <v>1.5</v>
      </c>
      <c r="J2" s="176" t="s">
        <v>768</v>
      </c>
      <c r="K2" s="176" t="s">
        <v>945</v>
      </c>
      <c r="L2" s="176">
        <f>1.3</f>
        <v>1.3</v>
      </c>
    </row>
    <row r="3" spans="1:22" ht="19.5" customHeight="1">
      <c r="A3" s="174" t="s">
        <v>822</v>
      </c>
      <c r="B3" s="196">
        <v>0</v>
      </c>
      <c r="C3" s="177">
        <f>C2+B3</f>
        <v>0</v>
      </c>
      <c r="D3" s="177">
        <f t="shared" si="0"/>
        <v>0</v>
      </c>
      <c r="E3" s="177">
        <f t="shared" si="1"/>
        <v>0</v>
      </c>
      <c r="G3" s="239">
        <f t="shared" ref="G3:G7" si="2">ATAN(4/4)</f>
        <v>0.78539816339744828</v>
      </c>
      <c r="H3" s="210">
        <v>1.5</v>
      </c>
      <c r="J3" s="176" t="s">
        <v>769</v>
      </c>
      <c r="K3" s="176" t="s">
        <v>991</v>
      </c>
      <c r="L3" s="176">
        <v>1.2</v>
      </c>
    </row>
    <row r="4" spans="1:22" ht="16.5">
      <c r="A4" s="174" t="s">
        <v>837</v>
      </c>
      <c r="B4" s="237">
        <v>219.83</v>
      </c>
      <c r="C4" s="177">
        <f>C3+B4</f>
        <v>219.83</v>
      </c>
      <c r="D4" s="177">
        <f>C4/4</f>
        <v>54.957500000000003</v>
      </c>
      <c r="E4" s="173">
        <v>38.860820927059699</v>
      </c>
      <c r="F4" s="173">
        <v>38.860820927059699</v>
      </c>
      <c r="G4" s="239">
        <f t="shared" si="2"/>
        <v>0.78539816339744828</v>
      </c>
      <c r="H4" s="210">
        <v>1.5</v>
      </c>
      <c r="J4" s="176" t="s">
        <v>770</v>
      </c>
      <c r="K4" s="176" t="s">
        <v>946</v>
      </c>
      <c r="L4" s="176">
        <v>1.1000000000000001</v>
      </c>
    </row>
    <row r="5" spans="1:22" ht="16.5">
      <c r="A5" s="174" t="s">
        <v>836</v>
      </c>
      <c r="B5" s="237">
        <v>180.6</v>
      </c>
      <c r="C5" s="177">
        <f>C4+B5</f>
        <v>400.43</v>
      </c>
      <c r="D5" s="177">
        <f t="shared" si="0"/>
        <v>100.1075</v>
      </c>
      <c r="E5" s="173">
        <v>70.786692097632297</v>
      </c>
      <c r="F5" s="173">
        <v>70.786692097632297</v>
      </c>
      <c r="G5" s="239">
        <f t="shared" si="2"/>
        <v>0.78539816339744828</v>
      </c>
      <c r="H5" s="210">
        <v>1.5</v>
      </c>
      <c r="J5" s="173" t="s">
        <v>760</v>
      </c>
      <c r="K5" s="173">
        <v>3.3</v>
      </c>
      <c r="L5" s="173" t="s">
        <v>942</v>
      </c>
    </row>
    <row r="6" spans="1:22" ht="16.5">
      <c r="A6" s="174" t="s">
        <v>814</v>
      </c>
      <c r="B6" s="237">
        <v>120.4</v>
      </c>
      <c r="C6" s="177">
        <f>C5+B6</f>
        <v>520.83000000000004</v>
      </c>
      <c r="D6" s="177">
        <f t="shared" si="0"/>
        <v>130.20750000000001</v>
      </c>
      <c r="E6" s="173">
        <v>92.070606211347382</v>
      </c>
      <c r="F6" s="173">
        <v>92.070606211347382</v>
      </c>
      <c r="G6" s="239">
        <f t="shared" si="2"/>
        <v>0.78539816339744828</v>
      </c>
      <c r="H6" s="210">
        <v>1.5</v>
      </c>
      <c r="J6" s="173" t="s">
        <v>765</v>
      </c>
      <c r="K6" s="173">
        <v>200</v>
      </c>
      <c r="L6" s="173" t="s">
        <v>766</v>
      </c>
      <c r="M6" s="173">
        <f>K6*(10^9)/9.81/1000/100/100</f>
        <v>2038.7359836901121</v>
      </c>
      <c r="N6" s="173" t="s">
        <v>767</v>
      </c>
    </row>
    <row r="7" spans="1:22" ht="16.5">
      <c r="A7" s="174" t="s">
        <v>838</v>
      </c>
      <c r="B7" s="237">
        <v>60.2</v>
      </c>
      <c r="C7" s="177">
        <f>C6+B7</f>
        <v>581.03000000000009</v>
      </c>
      <c r="D7" s="177">
        <f t="shared" si="0"/>
        <v>145.25750000000002</v>
      </c>
      <c r="E7" s="173">
        <v>102.71256326820493</v>
      </c>
      <c r="F7" s="173">
        <v>102.71256326820493</v>
      </c>
      <c r="G7" s="239">
        <f t="shared" si="2"/>
        <v>0.78539816339744828</v>
      </c>
      <c r="H7" s="210">
        <v>1.5</v>
      </c>
    </row>
    <row r="8" spans="1:22">
      <c r="A8" s="175"/>
      <c r="B8" s="178"/>
      <c r="C8" s="175"/>
      <c r="D8" s="175"/>
      <c r="E8" s="175"/>
    </row>
    <row r="9" spans="1:22">
      <c r="D9" s="175"/>
      <c r="E9" s="175"/>
      <c r="P9" s="175"/>
      <c r="Q9" s="312"/>
      <c r="R9" s="312"/>
      <c r="S9" s="312"/>
      <c r="T9" s="62"/>
      <c r="U9" s="62"/>
      <c r="V9" s="62"/>
    </row>
    <row r="10" spans="1:22" ht="18.75">
      <c r="A10" s="175"/>
      <c r="B10" s="175" t="s">
        <v>944</v>
      </c>
      <c r="C10" s="175"/>
      <c r="G10" s="173" t="s">
        <v>943</v>
      </c>
      <c r="H10" s="173" t="s">
        <v>1044</v>
      </c>
      <c r="M10" s="114" t="s">
        <v>678</v>
      </c>
      <c r="N10" s="174" t="s">
        <v>679</v>
      </c>
      <c r="O10" s="174" t="s">
        <v>680</v>
      </c>
      <c r="P10" s="175"/>
      <c r="Q10" s="191"/>
      <c r="R10" s="191"/>
      <c r="S10" s="191"/>
      <c r="T10" s="62"/>
      <c r="U10" s="62"/>
      <c r="V10" s="62"/>
    </row>
    <row r="11" spans="1:22" ht="18.75">
      <c r="A11" s="181" t="s">
        <v>757</v>
      </c>
      <c r="B11" s="181" t="str">
        <f t="shared" ref="B11:B17" si="3">E1</f>
        <v>axial force of brace (Tf)</v>
      </c>
      <c r="C11" s="319" t="s">
        <v>761</v>
      </c>
      <c r="D11" s="319"/>
      <c r="E11" s="319"/>
      <c r="F11" s="174" t="s">
        <v>763</v>
      </c>
      <c r="G11" s="174" t="s">
        <v>762</v>
      </c>
      <c r="H11" s="217" t="s">
        <v>1051</v>
      </c>
      <c r="I11" s="217" t="s">
        <v>1021</v>
      </c>
      <c r="K11" s="173">
        <f>E4/F4</f>
        <v>1</v>
      </c>
      <c r="M11" s="114">
        <v>20</v>
      </c>
      <c r="N11" s="174">
        <v>50</v>
      </c>
      <c r="O11" s="174">
        <f t="shared" ref="O11:O34" si="4">N11*M11</f>
        <v>1000</v>
      </c>
      <c r="P11" s="175"/>
      <c r="Q11" s="175"/>
      <c r="R11" s="191"/>
      <c r="S11" s="191"/>
      <c r="T11" s="191"/>
      <c r="U11" s="62"/>
      <c r="V11" s="62"/>
    </row>
    <row r="12" spans="1:22">
      <c r="A12" s="174" t="s">
        <v>824</v>
      </c>
      <c r="B12" s="182">
        <f t="shared" si="3"/>
        <v>0</v>
      </c>
      <c r="C12" s="157">
        <v>0</v>
      </c>
      <c r="D12" s="180" t="s">
        <v>759</v>
      </c>
      <c r="E12" s="219">
        <v>0</v>
      </c>
      <c r="F12" s="174">
        <f t="shared" ref="F12:F17" si="5">C12*E12/100</f>
        <v>0</v>
      </c>
      <c r="G12" s="174">
        <f t="shared" ref="G12:G17" si="6">0.9*$K$5*F12</f>
        <v>0</v>
      </c>
      <c r="H12" s="241" t="e">
        <f t="shared" ref="H12:H13" si="7">B12/G12</f>
        <v>#DIV/0!</v>
      </c>
      <c r="I12" s="217" t="e">
        <f t="shared" ref="I12:I14" si="8">IF(H12&lt;=1,"OK","NG")</f>
        <v>#DIV/0!</v>
      </c>
      <c r="K12" s="173">
        <f t="shared" ref="K12:K14" si="9">E5/F5</f>
        <v>1</v>
      </c>
      <c r="M12" s="114">
        <v>20</v>
      </c>
      <c r="N12" s="174">
        <v>80</v>
      </c>
      <c r="O12" s="174">
        <f t="shared" si="4"/>
        <v>1600</v>
      </c>
      <c r="Q12" s="178"/>
      <c r="R12" s="175"/>
      <c r="S12" s="191"/>
      <c r="T12" s="79"/>
      <c r="U12" s="62"/>
      <c r="V12" s="62"/>
    </row>
    <row r="13" spans="1:22">
      <c r="A13" s="174" t="s">
        <v>822</v>
      </c>
      <c r="B13" s="182">
        <f t="shared" si="3"/>
        <v>0</v>
      </c>
      <c r="C13" s="157">
        <v>0</v>
      </c>
      <c r="D13" s="180" t="s">
        <v>759</v>
      </c>
      <c r="E13" s="219">
        <v>0</v>
      </c>
      <c r="F13" s="174">
        <f t="shared" si="5"/>
        <v>0</v>
      </c>
      <c r="G13" s="174">
        <f t="shared" si="6"/>
        <v>0</v>
      </c>
      <c r="H13" s="241" t="e">
        <f t="shared" si="7"/>
        <v>#DIV/0!</v>
      </c>
      <c r="I13" s="217" t="e">
        <f t="shared" si="8"/>
        <v>#DIV/0!</v>
      </c>
      <c r="K13" s="173">
        <f t="shared" si="9"/>
        <v>1</v>
      </c>
      <c r="M13" s="114">
        <v>20</v>
      </c>
      <c r="N13" s="174">
        <v>100</v>
      </c>
      <c r="O13" s="174">
        <f t="shared" si="4"/>
        <v>2000</v>
      </c>
      <c r="Q13" s="178"/>
      <c r="R13" s="175"/>
      <c r="S13" s="191"/>
      <c r="T13" s="79"/>
      <c r="U13" s="62"/>
      <c r="V13" s="62"/>
    </row>
    <row r="14" spans="1:22">
      <c r="A14" s="174" t="s">
        <v>837</v>
      </c>
      <c r="B14" s="182">
        <f t="shared" si="3"/>
        <v>38.860820927059699</v>
      </c>
      <c r="C14" s="157">
        <v>60</v>
      </c>
      <c r="D14" s="180" t="s">
        <v>759</v>
      </c>
      <c r="E14" s="219">
        <v>60</v>
      </c>
      <c r="F14" s="174">
        <f>C14*E14/100</f>
        <v>36</v>
      </c>
      <c r="G14" s="174">
        <f>0.9*$K$5*F14</f>
        <v>106.91999999999999</v>
      </c>
      <c r="H14" s="241">
        <f>B14/G14</f>
        <v>0.36345698584979147</v>
      </c>
      <c r="I14" s="217" t="str">
        <f t="shared" si="8"/>
        <v>OK</v>
      </c>
      <c r="K14" s="173">
        <f t="shared" si="9"/>
        <v>1</v>
      </c>
      <c r="M14" s="114">
        <v>30</v>
      </c>
      <c r="N14" s="174">
        <v>80</v>
      </c>
      <c r="O14" s="174">
        <f t="shared" si="4"/>
        <v>2400</v>
      </c>
      <c r="Q14" s="178"/>
      <c r="R14" s="175"/>
      <c r="S14" s="191"/>
      <c r="T14" s="79"/>
      <c r="U14" s="62"/>
      <c r="V14" s="62"/>
    </row>
    <row r="15" spans="1:22">
      <c r="A15" s="174" t="s">
        <v>836</v>
      </c>
      <c r="B15" s="182">
        <f t="shared" si="3"/>
        <v>70.786692097632297</v>
      </c>
      <c r="C15" s="157">
        <v>60</v>
      </c>
      <c r="D15" s="179" t="s">
        <v>759</v>
      </c>
      <c r="E15" s="219">
        <v>60</v>
      </c>
      <c r="F15" s="174">
        <f>C15*E15/100</f>
        <v>36</v>
      </c>
      <c r="G15" s="174">
        <f t="shared" si="6"/>
        <v>106.91999999999999</v>
      </c>
      <c r="H15" s="241">
        <f>B15/G15</f>
        <v>0.66205286286599607</v>
      </c>
      <c r="I15" s="217" t="str">
        <f t="shared" ref="I15:I17" si="10">IF(H15&lt;=1,"OK","NG")</f>
        <v>OK</v>
      </c>
      <c r="M15" s="114">
        <v>30</v>
      </c>
      <c r="N15" s="174">
        <v>100</v>
      </c>
      <c r="O15" s="174">
        <f t="shared" si="4"/>
        <v>3000</v>
      </c>
      <c r="Q15" s="178"/>
      <c r="R15" s="175"/>
      <c r="S15" s="191"/>
      <c r="T15" s="79"/>
      <c r="U15" s="62"/>
      <c r="V15" s="62"/>
    </row>
    <row r="16" spans="1:22">
      <c r="A16" s="174" t="s">
        <v>814</v>
      </c>
      <c r="B16" s="182">
        <f t="shared" si="3"/>
        <v>92.070606211347382</v>
      </c>
      <c r="C16" s="157">
        <v>65</v>
      </c>
      <c r="D16" s="179" t="s">
        <v>759</v>
      </c>
      <c r="E16" s="219">
        <v>65</v>
      </c>
      <c r="F16" s="174">
        <f t="shared" si="5"/>
        <v>42.25</v>
      </c>
      <c r="G16" s="174">
        <f t="shared" si="6"/>
        <v>125.48249999999999</v>
      </c>
      <c r="H16" s="241">
        <f>B16/G16</f>
        <v>0.73373264169384089</v>
      </c>
      <c r="I16" s="217" t="str">
        <f t="shared" si="10"/>
        <v>OK</v>
      </c>
      <c r="L16" s="62"/>
      <c r="M16" s="114">
        <v>30</v>
      </c>
      <c r="N16" s="174">
        <v>120</v>
      </c>
      <c r="O16" s="174">
        <f t="shared" si="4"/>
        <v>3600</v>
      </c>
      <c r="P16" s="175"/>
      <c r="Q16" s="178"/>
      <c r="R16" s="175"/>
      <c r="S16" s="210"/>
      <c r="T16" s="79"/>
      <c r="U16" s="62"/>
      <c r="V16" s="62"/>
    </row>
    <row r="17" spans="1:22">
      <c r="A17" s="174" t="s">
        <v>838</v>
      </c>
      <c r="B17" s="182">
        <f t="shared" si="3"/>
        <v>102.71256326820493</v>
      </c>
      <c r="C17" s="157">
        <v>65</v>
      </c>
      <c r="D17" s="179" t="s">
        <v>759</v>
      </c>
      <c r="E17" s="219">
        <v>65</v>
      </c>
      <c r="F17" s="174">
        <f t="shared" si="5"/>
        <v>42.25</v>
      </c>
      <c r="G17" s="174">
        <f t="shared" si="6"/>
        <v>125.48249999999999</v>
      </c>
      <c r="H17" s="241">
        <f>B17/G17</f>
        <v>0.81854093812447903</v>
      </c>
      <c r="I17" s="217" t="str">
        <f t="shared" si="10"/>
        <v>OK</v>
      </c>
      <c r="L17" s="62"/>
      <c r="M17" s="151">
        <v>40</v>
      </c>
      <c r="N17" s="152">
        <v>100</v>
      </c>
      <c r="O17" s="152">
        <f t="shared" si="4"/>
        <v>4000</v>
      </c>
      <c r="P17" s="175"/>
      <c r="Q17" s="178"/>
      <c r="R17" s="175"/>
      <c r="S17" s="210"/>
      <c r="T17" s="79"/>
      <c r="U17" s="62"/>
      <c r="V17" s="62"/>
    </row>
    <row r="18" spans="1:22">
      <c r="D18" s="175"/>
      <c r="E18" s="175"/>
      <c r="F18" s="62"/>
      <c r="G18" s="178"/>
      <c r="H18" s="178"/>
      <c r="I18" s="210"/>
      <c r="J18" s="178"/>
      <c r="K18" s="62"/>
      <c r="L18" s="62"/>
      <c r="M18" s="114">
        <v>40</v>
      </c>
      <c r="N18" s="174">
        <v>120</v>
      </c>
      <c r="O18" s="174">
        <f t="shared" si="4"/>
        <v>4800</v>
      </c>
      <c r="P18" s="178"/>
      <c r="Q18" s="175"/>
      <c r="R18" s="210"/>
      <c r="S18" s="79"/>
      <c r="T18" s="62"/>
      <c r="U18" s="62"/>
      <c r="V18" s="170"/>
    </row>
    <row r="19" spans="1:22">
      <c r="D19" s="175"/>
      <c r="E19" s="175"/>
      <c r="F19" s="62"/>
      <c r="G19" s="178"/>
      <c r="H19" s="178"/>
      <c r="I19" s="210"/>
      <c r="J19" s="178"/>
      <c r="K19" s="62"/>
      <c r="L19" s="62"/>
      <c r="M19" s="151">
        <v>40</v>
      </c>
      <c r="N19" s="152">
        <v>150</v>
      </c>
      <c r="O19" s="152">
        <f t="shared" si="4"/>
        <v>6000</v>
      </c>
      <c r="P19" s="178"/>
      <c r="Q19" s="175"/>
      <c r="R19" s="210"/>
      <c r="S19" s="79"/>
      <c r="T19" s="62"/>
      <c r="U19" s="62"/>
      <c r="V19" s="170"/>
    </row>
    <row r="20" spans="1:22" ht="16.5">
      <c r="J20" s="244" t="s">
        <v>1045</v>
      </c>
      <c r="M20" s="114">
        <v>50</v>
      </c>
      <c r="N20" s="174">
        <v>130</v>
      </c>
      <c r="O20" s="174">
        <f t="shared" si="4"/>
        <v>6500</v>
      </c>
    </row>
    <row r="21" spans="1:22">
      <c r="D21" s="211" t="s">
        <v>948</v>
      </c>
      <c r="E21" s="211"/>
      <c r="F21" s="211" t="s">
        <v>947</v>
      </c>
      <c r="G21" s="173" t="s">
        <v>992</v>
      </c>
      <c r="H21" s="173" t="s">
        <v>993</v>
      </c>
      <c r="J21" s="221" t="s">
        <v>950</v>
      </c>
      <c r="K21" s="211" t="s">
        <v>949</v>
      </c>
      <c r="M21" s="114">
        <v>50</v>
      </c>
      <c r="N21" s="174">
        <v>140</v>
      </c>
      <c r="O21" s="174">
        <f t="shared" si="4"/>
        <v>7000</v>
      </c>
    </row>
    <row r="22" spans="1:22" ht="18.75">
      <c r="A22" s="181" t="s">
        <v>757</v>
      </c>
      <c r="B22" s="174" t="s">
        <v>937</v>
      </c>
      <c r="C22" s="174" t="s">
        <v>936</v>
      </c>
      <c r="D22" s="174" t="s">
        <v>764</v>
      </c>
      <c r="E22" s="243" t="s">
        <v>935</v>
      </c>
      <c r="F22" s="224" t="s">
        <v>938</v>
      </c>
      <c r="G22" s="174" t="s">
        <v>771</v>
      </c>
      <c r="H22" s="174" t="s">
        <v>772</v>
      </c>
      <c r="J22" s="232" t="s">
        <v>780</v>
      </c>
      <c r="K22" s="211" t="s">
        <v>781</v>
      </c>
      <c r="M22" s="114">
        <v>50</v>
      </c>
      <c r="N22" s="174">
        <v>150</v>
      </c>
      <c r="O22" s="174">
        <f t="shared" si="4"/>
        <v>7500</v>
      </c>
    </row>
    <row r="23" spans="1:22">
      <c r="A23" s="174" t="s">
        <v>824</v>
      </c>
      <c r="B23" s="174">
        <f t="shared" ref="B23:B28" si="11">F12</f>
        <v>0</v>
      </c>
      <c r="C23" s="174">
        <v>3.52</v>
      </c>
      <c r="D23" s="198">
        <f t="shared" ref="D23:D24" si="12">D27/SIN(G2)</f>
        <v>800.00000000000011</v>
      </c>
      <c r="E23" s="208">
        <f t="shared" ref="E23:E28" si="13">H2</f>
        <v>1.5</v>
      </c>
      <c r="F23" s="222">
        <f>M6*B23/D23</f>
        <v>0</v>
      </c>
      <c r="G23" s="150">
        <f t="shared" ref="G23:G28" si="14">B23*C23*$L$2*$L$3</f>
        <v>0</v>
      </c>
      <c r="H23" s="150">
        <f t="shared" ref="H23:H28" si="15">B23*C23*$L$2*$L$3*$L$4</f>
        <v>0</v>
      </c>
      <c r="J23" s="221">
        <f t="shared" ref="J23:K28" si="16">F23*1000</f>
        <v>0</v>
      </c>
      <c r="K23" s="211">
        <f t="shared" si="16"/>
        <v>0</v>
      </c>
      <c r="M23" s="114">
        <v>60</v>
      </c>
      <c r="N23" s="174">
        <v>140</v>
      </c>
      <c r="O23" s="174">
        <f t="shared" si="4"/>
        <v>8400</v>
      </c>
    </row>
    <row r="24" spans="1:22">
      <c r="A24" s="174" t="s">
        <v>822</v>
      </c>
      <c r="B24" s="174">
        <f t="shared" si="11"/>
        <v>0</v>
      </c>
      <c r="C24" s="174">
        <v>3.52</v>
      </c>
      <c r="D24" s="198">
        <f t="shared" si="12"/>
        <v>800.00000000000011</v>
      </c>
      <c r="E24" s="208">
        <f t="shared" si="13"/>
        <v>1.5</v>
      </c>
      <c r="F24" s="222">
        <f>$M$6*B24/D24</f>
        <v>0</v>
      </c>
      <c r="G24" s="150">
        <f t="shared" si="14"/>
        <v>0</v>
      </c>
      <c r="H24" s="150">
        <f t="shared" si="15"/>
        <v>0</v>
      </c>
      <c r="J24" s="221">
        <f t="shared" si="16"/>
        <v>0</v>
      </c>
      <c r="K24" s="211">
        <f t="shared" si="16"/>
        <v>0</v>
      </c>
      <c r="M24" s="114">
        <v>60</v>
      </c>
      <c r="N24" s="174">
        <v>150</v>
      </c>
      <c r="O24" s="174">
        <f t="shared" si="4"/>
        <v>9000</v>
      </c>
    </row>
    <row r="25" spans="1:22">
      <c r="A25" s="174" t="s">
        <v>837</v>
      </c>
      <c r="B25" s="174">
        <f t="shared" si="11"/>
        <v>36</v>
      </c>
      <c r="C25" s="174">
        <v>3.52</v>
      </c>
      <c r="D25" s="198">
        <f>D29/SIN(G4)</f>
        <v>565.68542494923804</v>
      </c>
      <c r="E25" s="208">
        <f t="shared" si="13"/>
        <v>1.5</v>
      </c>
      <c r="F25" s="222">
        <f>E25*M6</f>
        <v>3058.103975535168</v>
      </c>
      <c r="G25" s="150">
        <f t="shared" si="14"/>
        <v>197.68319999999997</v>
      </c>
      <c r="H25" s="150">
        <f t="shared" si="15"/>
        <v>217.45151999999999</v>
      </c>
      <c r="J25" s="221">
        <f t="shared" si="16"/>
        <v>3058103.9755351678</v>
      </c>
      <c r="K25" s="211">
        <f t="shared" si="16"/>
        <v>197683.19999999998</v>
      </c>
      <c r="M25" s="114">
        <v>60</v>
      </c>
      <c r="N25" s="174">
        <v>160</v>
      </c>
      <c r="O25" s="174">
        <f t="shared" si="4"/>
        <v>9600</v>
      </c>
    </row>
    <row r="26" spans="1:22">
      <c r="A26" s="174" t="s">
        <v>836</v>
      </c>
      <c r="B26" s="174">
        <f t="shared" si="11"/>
        <v>36</v>
      </c>
      <c r="C26" s="174">
        <v>3.52</v>
      </c>
      <c r="D26" s="198">
        <f>D29/SIN(G5)</f>
        <v>565.68542494923804</v>
      </c>
      <c r="E26" s="208">
        <f t="shared" si="13"/>
        <v>1.5</v>
      </c>
      <c r="F26" s="222">
        <f>E26*M6</f>
        <v>3058.103975535168</v>
      </c>
      <c r="G26" s="150">
        <f t="shared" si="14"/>
        <v>197.68319999999997</v>
      </c>
      <c r="H26" s="150">
        <f t="shared" si="15"/>
        <v>217.45151999999999</v>
      </c>
      <c r="J26" s="221">
        <f t="shared" si="16"/>
        <v>3058103.9755351678</v>
      </c>
      <c r="K26" s="211">
        <f t="shared" si="16"/>
        <v>197683.19999999998</v>
      </c>
      <c r="M26" s="114">
        <v>70</v>
      </c>
      <c r="N26" s="174">
        <v>140</v>
      </c>
      <c r="O26" s="174">
        <f t="shared" si="4"/>
        <v>9800</v>
      </c>
    </row>
    <row r="27" spans="1:22">
      <c r="A27" s="174" t="s">
        <v>814</v>
      </c>
      <c r="B27" s="174">
        <f t="shared" si="11"/>
        <v>42.25</v>
      </c>
      <c r="C27" s="174">
        <v>3.52</v>
      </c>
      <c r="D27" s="198">
        <f>D29/SIN(G6)</f>
        <v>565.68542494923804</v>
      </c>
      <c r="E27" s="208">
        <f t="shared" si="13"/>
        <v>1.5</v>
      </c>
      <c r="F27" s="222">
        <f>E27*M6</f>
        <v>3058.103975535168</v>
      </c>
      <c r="G27" s="150">
        <f t="shared" si="14"/>
        <v>232.00319999999999</v>
      </c>
      <c r="H27" s="150">
        <f t="shared" si="15"/>
        <v>255.20352000000003</v>
      </c>
      <c r="J27" s="221">
        <f t="shared" si="16"/>
        <v>3058103.9755351678</v>
      </c>
      <c r="K27" s="211">
        <f t="shared" si="16"/>
        <v>232003.19999999998</v>
      </c>
      <c r="M27" s="114">
        <v>70</v>
      </c>
      <c r="N27" s="174">
        <v>150</v>
      </c>
      <c r="O27" s="174">
        <f t="shared" si="4"/>
        <v>10500</v>
      </c>
    </row>
    <row r="28" spans="1:22">
      <c r="A28" s="174" t="s">
        <v>838</v>
      </c>
      <c r="B28" s="174">
        <f t="shared" si="11"/>
        <v>42.25</v>
      </c>
      <c r="C28" s="174">
        <v>3.52</v>
      </c>
      <c r="D28" s="198">
        <f>D29/SIN(G7)</f>
        <v>565.68542494923804</v>
      </c>
      <c r="E28" s="208">
        <f t="shared" si="13"/>
        <v>1.5</v>
      </c>
      <c r="F28" s="222">
        <f>E28*M6</f>
        <v>3058.103975535168</v>
      </c>
      <c r="G28" s="150">
        <f t="shared" si="14"/>
        <v>232.00319999999999</v>
      </c>
      <c r="H28" s="150">
        <f t="shared" si="15"/>
        <v>255.20352000000003</v>
      </c>
      <c r="J28" s="221">
        <f t="shared" si="16"/>
        <v>3058103.9755351678</v>
      </c>
      <c r="K28" s="211">
        <f t="shared" si="16"/>
        <v>232003.19999999998</v>
      </c>
      <c r="M28" s="114">
        <v>70</v>
      </c>
      <c r="N28" s="174">
        <v>160</v>
      </c>
      <c r="O28" s="174">
        <f t="shared" si="4"/>
        <v>11200</v>
      </c>
    </row>
    <row r="29" spans="1:22" ht="16.5">
      <c r="A29" s="62"/>
      <c r="B29" s="62"/>
      <c r="C29" s="246" t="s">
        <v>1046</v>
      </c>
      <c r="D29" s="245">
        <v>400</v>
      </c>
      <c r="E29" s="227"/>
      <c r="F29" s="223"/>
      <c r="G29" s="223"/>
      <c r="M29" s="114">
        <v>80</v>
      </c>
      <c r="N29" s="174">
        <v>160</v>
      </c>
      <c r="O29" s="174">
        <f t="shared" si="4"/>
        <v>12800</v>
      </c>
    </row>
    <row r="30" spans="1:22">
      <c r="A30" s="62"/>
      <c r="B30" s="62"/>
      <c r="C30" s="62"/>
      <c r="D30" s="240"/>
      <c r="E30" s="227"/>
      <c r="F30" s="223"/>
      <c r="G30" s="223"/>
      <c r="J30" s="173">
        <f>G25*0.9</f>
        <v>177.91487999999998</v>
      </c>
      <c r="K30" s="173">
        <f>H25*0.9</f>
        <v>195.706368</v>
      </c>
      <c r="M30" s="114">
        <v>80</v>
      </c>
      <c r="N30" s="174">
        <v>180</v>
      </c>
      <c r="O30" s="174">
        <f t="shared" si="4"/>
        <v>14400</v>
      </c>
    </row>
    <row r="31" spans="1:22">
      <c r="A31" s="62"/>
      <c r="B31" s="62"/>
      <c r="C31" s="62"/>
      <c r="D31" s="240"/>
      <c r="E31" s="227"/>
      <c r="F31" s="223"/>
      <c r="G31" s="223"/>
      <c r="J31" s="173">
        <f t="shared" ref="J31:K31" si="17">G26*0.9</f>
        <v>177.91487999999998</v>
      </c>
      <c r="K31" s="173">
        <f t="shared" si="17"/>
        <v>195.706368</v>
      </c>
      <c r="M31" s="114">
        <v>80</v>
      </c>
      <c r="N31" s="174">
        <v>200</v>
      </c>
      <c r="O31" s="174">
        <f t="shared" si="4"/>
        <v>16000</v>
      </c>
    </row>
    <row r="32" spans="1:22">
      <c r="J32" s="173">
        <f t="shared" ref="J32:K32" si="18">G27*0.9</f>
        <v>208.80287999999999</v>
      </c>
      <c r="K32" s="173">
        <f t="shared" si="18"/>
        <v>229.68316800000002</v>
      </c>
      <c r="M32" s="114">
        <v>90</v>
      </c>
      <c r="N32" s="174">
        <v>200</v>
      </c>
      <c r="O32" s="174">
        <f t="shared" si="4"/>
        <v>18000</v>
      </c>
    </row>
    <row r="33" spans="1:22" ht="17.25" thickBot="1">
      <c r="A33" s="320" t="s">
        <v>967</v>
      </c>
      <c r="B33" s="320"/>
      <c r="D33" s="213" t="s">
        <v>970</v>
      </c>
      <c r="E33" s="213" t="s">
        <v>969</v>
      </c>
      <c r="F33" s="212" t="s">
        <v>968</v>
      </c>
      <c r="G33" s="213" t="s">
        <v>963</v>
      </c>
      <c r="J33" s="173">
        <f t="shared" ref="J33:K33" si="19">G28*0.9</f>
        <v>208.80287999999999</v>
      </c>
      <c r="K33" s="173">
        <f t="shared" si="19"/>
        <v>229.68316800000002</v>
      </c>
      <c r="M33" s="114">
        <v>90</v>
      </c>
      <c r="N33" s="174">
        <v>220</v>
      </c>
      <c r="O33" s="174">
        <f t="shared" si="4"/>
        <v>19800</v>
      </c>
    </row>
    <row r="34" spans="1:22">
      <c r="A34" s="205" t="s">
        <v>745</v>
      </c>
      <c r="B34" s="168" t="s">
        <v>955</v>
      </c>
      <c r="C34" s="313" t="s">
        <v>962</v>
      </c>
      <c r="D34" s="211" t="s">
        <v>996</v>
      </c>
      <c r="E34" s="211" t="s">
        <v>997</v>
      </c>
      <c r="F34" s="211" t="s">
        <v>971</v>
      </c>
      <c r="G34" s="211" t="s">
        <v>972</v>
      </c>
      <c r="M34" s="114">
        <v>90</v>
      </c>
      <c r="N34" s="174">
        <v>240</v>
      </c>
      <c r="O34" s="174">
        <f t="shared" si="4"/>
        <v>21600</v>
      </c>
    </row>
    <row r="35" spans="1:22">
      <c r="A35" s="163" t="s">
        <v>966</v>
      </c>
      <c r="B35" s="174" t="s">
        <v>953</v>
      </c>
      <c r="C35" s="314"/>
      <c r="E35" s="211"/>
      <c r="F35" s="211"/>
      <c r="G35" s="211"/>
    </row>
    <row r="36" spans="1:22">
      <c r="A36" s="200" t="s">
        <v>747</v>
      </c>
      <c r="B36" s="174" t="s">
        <v>954</v>
      </c>
      <c r="C36" s="314"/>
    </row>
    <row r="37" spans="1:22" ht="16.5">
      <c r="A37" s="200" t="s">
        <v>748</v>
      </c>
      <c r="B37" s="174" t="s">
        <v>956</v>
      </c>
      <c r="C37" s="313" t="s">
        <v>965</v>
      </c>
      <c r="D37" s="212"/>
    </row>
    <row r="38" spans="1:22" ht="16.5">
      <c r="A38" s="163" t="s">
        <v>749</v>
      </c>
      <c r="B38" s="174" t="s">
        <v>957</v>
      </c>
      <c r="C38" s="314"/>
      <c r="D38" s="212"/>
    </row>
    <row r="39" spans="1:22" ht="16.5" thickBot="1">
      <c r="A39" s="202" t="s">
        <v>750</v>
      </c>
      <c r="B39" s="94" t="s">
        <v>958</v>
      </c>
      <c r="C39" s="314"/>
    </row>
    <row r="40" spans="1:22" ht="16.5">
      <c r="A40" s="176" t="s">
        <v>928</v>
      </c>
      <c r="B40" s="173" t="s">
        <v>959</v>
      </c>
      <c r="C40" s="213" t="s">
        <v>961</v>
      </c>
    </row>
    <row r="41" spans="1:22" ht="16.5">
      <c r="A41" s="176" t="s">
        <v>929</v>
      </c>
      <c r="B41" s="173" t="s">
        <v>960</v>
      </c>
      <c r="C41" s="213" t="s">
        <v>964</v>
      </c>
    </row>
    <row r="43" spans="1:22" ht="16.5" thickBot="1"/>
    <row r="44" spans="1:22">
      <c r="A44" s="302" t="s">
        <v>840</v>
      </c>
      <c r="B44" s="303"/>
      <c r="C44" s="304"/>
      <c r="D44" s="302" t="s">
        <v>841</v>
      </c>
      <c r="E44" s="303"/>
      <c r="F44" s="304"/>
      <c r="G44" s="302" t="s">
        <v>842</v>
      </c>
      <c r="H44" s="303"/>
      <c r="I44" s="304"/>
      <c r="K44" s="172" t="s">
        <v>773</v>
      </c>
      <c r="N44" s="173" t="s">
        <v>951</v>
      </c>
      <c r="O44" s="173" t="s">
        <v>952</v>
      </c>
    </row>
    <row r="45" spans="1:22" ht="47.25" customHeight="1">
      <c r="A45" s="156" t="s">
        <v>698</v>
      </c>
      <c r="B45" s="157">
        <v>360</v>
      </c>
      <c r="C45" s="158" t="s">
        <v>699</v>
      </c>
      <c r="D45" s="156" t="s">
        <v>698</v>
      </c>
      <c r="E45" s="157">
        <v>350</v>
      </c>
      <c r="F45" s="158" t="s">
        <v>699</v>
      </c>
      <c r="G45" s="156" t="s">
        <v>698</v>
      </c>
      <c r="H45" s="157">
        <v>0</v>
      </c>
      <c r="I45" s="158" t="s">
        <v>699</v>
      </c>
      <c r="K45" s="181" t="s">
        <v>757</v>
      </c>
      <c r="L45" s="174" t="s">
        <v>771</v>
      </c>
      <c r="M45" s="174" t="s">
        <v>772</v>
      </c>
      <c r="N45" s="149" t="s">
        <v>774</v>
      </c>
      <c r="O45" s="149" t="s">
        <v>775</v>
      </c>
      <c r="P45" s="316" t="s">
        <v>758</v>
      </c>
      <c r="Q45" s="317"/>
      <c r="R45" s="317"/>
      <c r="S45" s="317"/>
      <c r="T45" s="317"/>
      <c r="U45" s="317"/>
      <c r="V45" s="318"/>
    </row>
    <row r="46" spans="1:22">
      <c r="A46" s="156" t="s">
        <v>700</v>
      </c>
      <c r="B46" s="157">
        <v>354</v>
      </c>
      <c r="C46" s="158" t="s">
        <v>699</v>
      </c>
      <c r="D46" s="156" t="s">
        <v>700</v>
      </c>
      <c r="E46" s="157">
        <v>252</v>
      </c>
      <c r="F46" s="158" t="s">
        <v>699</v>
      </c>
      <c r="G46" s="156" t="s">
        <v>700</v>
      </c>
      <c r="H46" s="157">
        <v>0</v>
      </c>
      <c r="I46" s="158" t="s">
        <v>699</v>
      </c>
      <c r="K46" s="174" t="s">
        <v>824</v>
      </c>
      <c r="L46" s="150">
        <f t="shared" ref="L46:M51" si="20">G23</f>
        <v>0</v>
      </c>
      <c r="M46" s="150">
        <f t="shared" si="20"/>
        <v>0</v>
      </c>
      <c r="N46" s="150">
        <f t="shared" ref="N46:N51" si="21">(M46+L46)*COS(G2)/2</f>
        <v>0</v>
      </c>
      <c r="O46" s="150">
        <f>(M46-L46)*SIN(G2)*O52/4</f>
        <v>0</v>
      </c>
      <c r="P46" s="248">
        <f>H45</f>
        <v>0</v>
      </c>
      <c r="Q46" s="192" t="s">
        <v>759</v>
      </c>
      <c r="R46" s="248">
        <f>H46</f>
        <v>0</v>
      </c>
      <c r="S46" s="192" t="s">
        <v>759</v>
      </c>
      <c r="T46" s="248">
        <f>H47</f>
        <v>0</v>
      </c>
      <c r="U46" s="192" t="s">
        <v>759</v>
      </c>
      <c r="V46" s="248">
        <f>H48</f>
        <v>0</v>
      </c>
    </row>
    <row r="47" spans="1:22">
      <c r="A47" s="156" t="s">
        <v>701</v>
      </c>
      <c r="B47" s="157">
        <v>16</v>
      </c>
      <c r="C47" s="158" t="s">
        <v>699</v>
      </c>
      <c r="D47" s="156" t="s">
        <v>701</v>
      </c>
      <c r="E47" s="157">
        <v>11</v>
      </c>
      <c r="F47" s="158" t="s">
        <v>699</v>
      </c>
      <c r="G47" s="156" t="s">
        <v>701</v>
      </c>
      <c r="H47" s="157">
        <v>0</v>
      </c>
      <c r="I47" s="158" t="s">
        <v>699</v>
      </c>
      <c r="K47" s="174" t="s">
        <v>822</v>
      </c>
      <c r="L47" s="150">
        <f t="shared" si="20"/>
        <v>0</v>
      </c>
      <c r="M47" s="150">
        <f t="shared" si="20"/>
        <v>0</v>
      </c>
      <c r="N47" s="150">
        <f t="shared" si="21"/>
        <v>0</v>
      </c>
      <c r="O47" s="150">
        <f>(M47-L47)*SIN(G3)*O52/4</f>
        <v>0</v>
      </c>
      <c r="P47" s="248">
        <f>H45</f>
        <v>0</v>
      </c>
      <c r="Q47" s="192" t="s">
        <v>759</v>
      </c>
      <c r="R47" s="248">
        <f>R46</f>
        <v>0</v>
      </c>
      <c r="S47" s="192" t="s">
        <v>759</v>
      </c>
      <c r="T47" s="248">
        <f>T46</f>
        <v>0</v>
      </c>
      <c r="U47" s="192" t="s">
        <v>759</v>
      </c>
      <c r="V47" s="248">
        <f>V46</f>
        <v>0</v>
      </c>
    </row>
    <row r="48" spans="1:22">
      <c r="A48" s="156" t="s">
        <v>702</v>
      </c>
      <c r="B48" s="157">
        <v>24</v>
      </c>
      <c r="C48" s="158" t="s">
        <v>699</v>
      </c>
      <c r="D48" s="156" t="s">
        <v>702</v>
      </c>
      <c r="E48" s="157">
        <v>19</v>
      </c>
      <c r="F48" s="158" t="s">
        <v>699</v>
      </c>
      <c r="G48" s="156" t="s">
        <v>702</v>
      </c>
      <c r="H48" s="157">
        <v>0</v>
      </c>
      <c r="I48" s="158" t="s">
        <v>699</v>
      </c>
      <c r="J48" s="190"/>
      <c r="K48" s="174" t="s">
        <v>837</v>
      </c>
      <c r="L48" s="183">
        <f t="shared" si="20"/>
        <v>197.68319999999997</v>
      </c>
      <c r="M48" s="183">
        <f t="shared" si="20"/>
        <v>217.45151999999999</v>
      </c>
      <c r="N48" s="183">
        <f t="shared" si="21"/>
        <v>146.77228780898932</v>
      </c>
      <c r="O48" s="197">
        <f>(M48-L48)*SIN(G4)*O52/4</f>
        <v>2795.6626249331325</v>
      </c>
      <c r="P48" s="248">
        <f>E45</f>
        <v>350</v>
      </c>
      <c r="Q48" s="192" t="s">
        <v>759</v>
      </c>
      <c r="R48" s="248">
        <f>E46</f>
        <v>252</v>
      </c>
      <c r="S48" s="192" t="s">
        <v>759</v>
      </c>
      <c r="T48" s="248">
        <f>E47</f>
        <v>11</v>
      </c>
      <c r="U48" s="192" t="s">
        <v>759</v>
      </c>
      <c r="V48" s="248">
        <f>E48</f>
        <v>19</v>
      </c>
    </row>
    <row r="49" spans="1:23">
      <c r="A49" s="156" t="s">
        <v>703</v>
      </c>
      <c r="B49" s="62">
        <v>3.3</v>
      </c>
      <c r="C49" s="158" t="s">
        <v>718</v>
      </c>
      <c r="D49" s="156" t="s">
        <v>703</v>
      </c>
      <c r="E49" s="62">
        <v>3.3</v>
      </c>
      <c r="F49" s="158" t="s">
        <v>718</v>
      </c>
      <c r="G49" s="156" t="s">
        <v>703</v>
      </c>
      <c r="H49" s="62">
        <v>3.5</v>
      </c>
      <c r="I49" s="158" t="s">
        <v>718</v>
      </c>
      <c r="J49" s="62"/>
      <c r="K49" s="174" t="s">
        <v>836</v>
      </c>
      <c r="L49" s="150">
        <f t="shared" si="20"/>
        <v>197.68319999999997</v>
      </c>
      <c r="M49" s="150">
        <f t="shared" si="20"/>
        <v>217.45151999999999</v>
      </c>
      <c r="N49" s="150">
        <f t="shared" si="21"/>
        <v>146.77228780898932</v>
      </c>
      <c r="O49" s="197">
        <f>(M49-L49)*SIN(G5)*O52/4</f>
        <v>2795.6626249331325</v>
      </c>
      <c r="P49" s="248">
        <f>P48</f>
        <v>350</v>
      </c>
      <c r="Q49" s="193" t="s">
        <v>759</v>
      </c>
      <c r="R49" s="248">
        <f>R48</f>
        <v>252</v>
      </c>
      <c r="S49" s="193" t="s">
        <v>759</v>
      </c>
      <c r="T49" s="248">
        <f>T48</f>
        <v>11</v>
      </c>
      <c r="U49" s="193" t="s">
        <v>759</v>
      </c>
      <c r="V49" s="248">
        <f>V48</f>
        <v>19</v>
      </c>
    </row>
    <row r="50" spans="1:23" ht="16.5">
      <c r="A50" s="159"/>
      <c r="B50" s="160"/>
      <c r="C50" s="161"/>
      <c r="D50" s="156"/>
      <c r="E50" s="62"/>
      <c r="F50" s="158"/>
      <c r="G50" s="156"/>
      <c r="H50" s="62"/>
      <c r="I50" s="158"/>
      <c r="J50" s="62"/>
      <c r="K50" s="174" t="s">
        <v>814</v>
      </c>
      <c r="L50" s="150">
        <f t="shared" si="20"/>
        <v>232.00319999999999</v>
      </c>
      <c r="M50" s="150">
        <f t="shared" si="20"/>
        <v>255.20352000000003</v>
      </c>
      <c r="N50" s="150">
        <f t="shared" si="21"/>
        <v>172.25358777582778</v>
      </c>
      <c r="O50" s="197">
        <f>(M50-L50)*SIN(G6)*O52/4</f>
        <v>3281.020719539581</v>
      </c>
      <c r="P50" s="248">
        <f>B45</f>
        <v>360</v>
      </c>
      <c r="Q50" s="193" t="s">
        <v>759</v>
      </c>
      <c r="R50" s="248">
        <f>B46</f>
        <v>354</v>
      </c>
      <c r="S50" s="193" t="s">
        <v>759</v>
      </c>
      <c r="T50" s="248">
        <f>B47</f>
        <v>16</v>
      </c>
      <c r="U50" s="193" t="s">
        <v>759</v>
      </c>
      <c r="V50" s="248">
        <f>B48</f>
        <v>24</v>
      </c>
    </row>
    <row r="51" spans="1:23" ht="16.5">
      <c r="A51" s="162" t="s">
        <v>704</v>
      </c>
      <c r="B51" s="160"/>
      <c r="C51" s="161"/>
      <c r="D51" s="162" t="s">
        <v>704</v>
      </c>
      <c r="E51" s="160"/>
      <c r="F51" s="161"/>
      <c r="G51" s="162" t="s">
        <v>704</v>
      </c>
      <c r="H51" s="160"/>
      <c r="I51" s="161"/>
      <c r="J51" s="62"/>
      <c r="K51" s="174" t="s">
        <v>838</v>
      </c>
      <c r="L51" s="150">
        <f t="shared" si="20"/>
        <v>232.00319999999999</v>
      </c>
      <c r="M51" s="150">
        <f t="shared" si="20"/>
        <v>255.20352000000003</v>
      </c>
      <c r="N51" s="150">
        <f t="shared" si="21"/>
        <v>172.25358777582778</v>
      </c>
      <c r="O51" s="197">
        <f>(M51-L51)*SIN(G7)*O52/4</f>
        <v>3281.020719539581</v>
      </c>
      <c r="P51" s="248">
        <f>P50</f>
        <v>360</v>
      </c>
      <c r="Q51" s="193" t="s">
        <v>759</v>
      </c>
      <c r="R51" s="248">
        <f>R50</f>
        <v>354</v>
      </c>
      <c r="S51" s="193" t="s">
        <v>759</v>
      </c>
      <c r="T51" s="248">
        <f>T50</f>
        <v>16</v>
      </c>
      <c r="U51" s="193" t="s">
        <v>759</v>
      </c>
      <c r="V51" s="248">
        <f>V50</f>
        <v>24</v>
      </c>
    </row>
    <row r="52" spans="1:23">
      <c r="A52" s="163" t="s">
        <v>705</v>
      </c>
      <c r="B52" s="174"/>
      <c r="C52" s="93"/>
      <c r="D52" s="163" t="s">
        <v>705</v>
      </c>
      <c r="E52" s="174"/>
      <c r="F52" s="93"/>
      <c r="G52" s="163" t="s">
        <v>705</v>
      </c>
      <c r="H52" s="174"/>
      <c r="I52" s="93"/>
      <c r="J52" s="62"/>
      <c r="N52" s="247" t="s">
        <v>1047</v>
      </c>
      <c r="O52" s="247">
        <v>800</v>
      </c>
    </row>
    <row r="53" spans="1:23" ht="18">
      <c r="A53" s="163" t="s">
        <v>707</v>
      </c>
      <c r="B53" s="174">
        <f>B46*B48*2+(B45-B48-B48)*B47</f>
        <v>21984</v>
      </c>
      <c r="C53" s="93" t="s">
        <v>708</v>
      </c>
      <c r="D53" s="163" t="s">
        <v>707</v>
      </c>
      <c r="E53" s="174">
        <f>E46*E48*2+(E45-E48-E48)*E47</f>
        <v>13008</v>
      </c>
      <c r="F53" s="93" t="s">
        <v>708</v>
      </c>
      <c r="G53" s="163" t="s">
        <v>707</v>
      </c>
      <c r="H53" s="174">
        <f>H46*H48*2+(H45-H48-H48)*H47</f>
        <v>0</v>
      </c>
      <c r="I53" s="93" t="s">
        <v>708</v>
      </c>
      <c r="J53" s="62"/>
    </row>
    <row r="54" spans="1:23" ht="18">
      <c r="A54" s="163" t="s">
        <v>709</v>
      </c>
      <c r="B54" s="174">
        <f>(B47*(B45-B48-B48)^3)/12+2*(B46*B48*B48*B48/12+B46*B48*(B45*0.5-0.5*B48)^2)</f>
        <v>520892928</v>
      </c>
      <c r="C54" s="93" t="s">
        <v>710</v>
      </c>
      <c r="D54" s="163" t="s">
        <v>709</v>
      </c>
      <c r="E54" s="174">
        <f>(E47*(E45-E48-E48)^3)/12+2*(E46*E48*E48*E48/12+E46*E48*(E45*0.5-0.5*E48)^2)</f>
        <v>290417496</v>
      </c>
      <c r="F54" s="93" t="s">
        <v>710</v>
      </c>
      <c r="G54" s="163" t="s">
        <v>709</v>
      </c>
      <c r="H54" s="174">
        <f>(H47*(H45-H48-H48)^3)/12+2*(H46*H48*H48*H48/12+H46*H48*(H45*0.5-0.5*H48)^2)</f>
        <v>0</v>
      </c>
      <c r="I54" s="93" t="s">
        <v>710</v>
      </c>
      <c r="J54" s="62"/>
      <c r="K54" s="172" t="s">
        <v>776</v>
      </c>
      <c r="M54" s="212" t="s">
        <v>979</v>
      </c>
      <c r="N54" s="173" t="s">
        <v>980</v>
      </c>
      <c r="O54" s="212" t="s">
        <v>981</v>
      </c>
    </row>
    <row r="55" spans="1:23" ht="18.75">
      <c r="A55" s="163" t="s">
        <v>711</v>
      </c>
      <c r="B55" s="174">
        <f>(B45-B48-B48)*B47*B47*B47/12+B48*B46*B46*B46*2/12</f>
        <v>177553952</v>
      </c>
      <c r="C55" s="93" t="s">
        <v>710</v>
      </c>
      <c r="D55" s="163" t="s">
        <v>711</v>
      </c>
      <c r="E55" s="174">
        <f>(E45-E48-E48)*E47*E47*E47/12+E48*E46*E46*E46*2/12</f>
        <v>50710798</v>
      </c>
      <c r="F55" s="93" t="s">
        <v>710</v>
      </c>
      <c r="G55" s="163" t="s">
        <v>711</v>
      </c>
      <c r="H55" s="174">
        <f>(H45-H48-H48)*H47*H47*H47/12+H48*H46*H46*H46*2/12</f>
        <v>0</v>
      </c>
      <c r="I55" s="93" t="s">
        <v>710</v>
      </c>
      <c r="J55" s="160"/>
      <c r="K55" s="174" t="s">
        <v>730</v>
      </c>
      <c r="L55" s="174" t="s">
        <v>975</v>
      </c>
      <c r="M55" s="174" t="s">
        <v>742</v>
      </c>
      <c r="N55" s="174" t="s">
        <v>743</v>
      </c>
      <c r="O55" s="224" t="s">
        <v>741</v>
      </c>
      <c r="P55" s="217" t="s">
        <v>1021</v>
      </c>
    </row>
    <row r="56" spans="1:23" ht="18">
      <c r="A56" s="163" t="s">
        <v>712</v>
      </c>
      <c r="B56" s="174">
        <f>(B45-B48-B48)*B47*B47*B47/3+B46*B48*B48*B48/3*2</f>
        <v>3688448</v>
      </c>
      <c r="C56" s="93" t="s">
        <v>710</v>
      </c>
      <c r="D56" s="163" t="s">
        <v>712</v>
      </c>
      <c r="E56" s="174">
        <f>(E45-E48-E48)*E47*E47*E47/3+E46*E48*E48*E48/3*2</f>
        <v>1290736</v>
      </c>
      <c r="F56" s="93" t="s">
        <v>710</v>
      </c>
      <c r="G56" s="163" t="s">
        <v>712</v>
      </c>
      <c r="H56" s="174">
        <f>(H45-H48-H48)*H47*H47*H47/3+H46*H48*H48*H48/3*2</f>
        <v>0</v>
      </c>
      <c r="I56" s="93" t="s">
        <v>710</v>
      </c>
      <c r="J56" s="62"/>
      <c r="K56" s="174" t="s">
        <v>824</v>
      </c>
      <c r="L56" s="174" t="e">
        <f>0.7*425/SQRT((H55/10000)/(H53/100))*SQRT(3.52/2039/PI()/PI())</f>
        <v>#DIV/0!</v>
      </c>
      <c r="M56" s="174" t="e">
        <f>IF(L56&lt;=1.5,(0.658^(L56*L56))*3.52*H53/100,0.877/L56/L56*3.52*H53/100)</f>
        <v>#DIV/0!</v>
      </c>
      <c r="N56" s="174" t="e">
        <f>IF(AND(H63&lt;H65,H66&lt;H68),H61,0)</f>
        <v>#DIV/0!</v>
      </c>
      <c r="O56" s="222" t="e">
        <f>IF(N46/(0.85*M56)&gt;=0.2,N46/(0.85*M56)+8*O46/(9*0.9*N56),N46/(0.85*M56)+O46/(0.9*N56))</f>
        <v>#DIV/0!</v>
      </c>
      <c r="P56" s="217" t="e">
        <f t="shared" ref="P56:P61" si="22">IF(O56&lt;1,"OK","NG")</f>
        <v>#DIV/0!</v>
      </c>
    </row>
    <row r="57" spans="1:23" ht="18">
      <c r="A57" s="163" t="s">
        <v>713</v>
      </c>
      <c r="B57" s="174">
        <f>B54/(B45/2)</f>
        <v>2893849.6</v>
      </c>
      <c r="C57" s="93" t="s">
        <v>714</v>
      </c>
      <c r="D57" s="163" t="s">
        <v>713</v>
      </c>
      <c r="E57" s="174">
        <f>E54/(E45/2)</f>
        <v>1659528.5485714285</v>
      </c>
      <c r="F57" s="93" t="s">
        <v>714</v>
      </c>
      <c r="G57" s="163" t="s">
        <v>713</v>
      </c>
      <c r="H57" s="174" t="e">
        <f>H54/(H45/2)</f>
        <v>#DIV/0!</v>
      </c>
      <c r="I57" s="93" t="s">
        <v>714</v>
      </c>
      <c r="J57" s="62"/>
      <c r="K57" s="174" t="s">
        <v>822</v>
      </c>
      <c r="L57" s="174" t="e">
        <f>0.7*425/SQRT((H55/10000)/(H53/100))*SQRT(3.52/2039/PI()/PI())</f>
        <v>#DIV/0!</v>
      </c>
      <c r="M57" s="174" t="e">
        <f>IF(L57&lt;=1.5,(0.658^(L57*L57))*3.52*H53/100,0.877/L57/L57*3.52*H53/100)</f>
        <v>#DIV/0!</v>
      </c>
      <c r="N57" s="174" t="e">
        <f>IF(AND(H63&lt;H65,H66&lt;H68),H61,0)</f>
        <v>#DIV/0!</v>
      </c>
      <c r="O57" s="222" t="e">
        <f>IF(N47/(0.85*M57)&gt;=0.2,N47/(0.85*M57)+8*O47/(9*0.9*N57),N47/(0.85*M57)+O47/(0.9*N57))</f>
        <v>#DIV/0!</v>
      </c>
      <c r="P57" s="217" t="e">
        <f t="shared" si="22"/>
        <v>#DIV/0!</v>
      </c>
    </row>
    <row r="58" spans="1:23" ht="18">
      <c r="A58" s="163" t="s">
        <v>715</v>
      </c>
      <c r="B58" s="174">
        <f>B55/(B46/2)</f>
        <v>1003129.6723163842</v>
      </c>
      <c r="C58" s="93" t="s">
        <v>714</v>
      </c>
      <c r="D58" s="163" t="s">
        <v>715</v>
      </c>
      <c r="E58" s="174">
        <f>E55/(E46/2)</f>
        <v>402466.65079365077</v>
      </c>
      <c r="F58" s="93" t="s">
        <v>714</v>
      </c>
      <c r="G58" s="163" t="s">
        <v>715</v>
      </c>
      <c r="H58" s="174" t="e">
        <f>H55/(H46/2)</f>
        <v>#DIV/0!</v>
      </c>
      <c r="I58" s="93" t="s">
        <v>714</v>
      </c>
      <c r="J58" s="62"/>
      <c r="K58" s="174" t="s">
        <v>837</v>
      </c>
      <c r="L58" s="198">
        <f>0.5*L62/SQRT((E55/10000)/(E53/100))*SQRT(E49/M6/PI()/PI())</f>
        <v>0.41021509793203936</v>
      </c>
      <c r="M58" s="150">
        <f>IF(L58&lt;=1.5,(0.658^(L58*L58))*E49*E53/100,0.877/L58/L58*E49*E53/100)</f>
        <v>400.07017028213556</v>
      </c>
      <c r="N58" s="150">
        <f>IF(AND(E63&lt;E65,E66&lt;E68),E61,0)</f>
        <v>6113.3291999999992</v>
      </c>
      <c r="O58" s="228">
        <f>O59</f>
        <v>0.88326781237363627</v>
      </c>
      <c r="P58" s="217" t="str">
        <f t="shared" si="22"/>
        <v>OK</v>
      </c>
      <c r="Q58" s="173" t="s">
        <v>985</v>
      </c>
      <c r="R58" s="212" t="s">
        <v>982</v>
      </c>
      <c r="S58" s="173" t="s">
        <v>988</v>
      </c>
      <c r="T58" s="211" t="s">
        <v>987</v>
      </c>
      <c r="U58" s="211"/>
      <c r="W58" s="211"/>
    </row>
    <row r="59" spans="1:23" ht="18">
      <c r="A59" s="163" t="s">
        <v>716</v>
      </c>
      <c r="B59" s="174">
        <f>B46*B45*B45*0.25-(B46-B47)*((B45-2*B48)^2)*0.25</f>
        <v>3244032</v>
      </c>
      <c r="C59" s="93" t="s">
        <v>714</v>
      </c>
      <c r="D59" s="163" t="s">
        <v>716</v>
      </c>
      <c r="E59" s="174">
        <f>E46*E45*E45*0.25-(E46-E47)*(E45-2*E48)^2*0.25</f>
        <v>1852524</v>
      </c>
      <c r="F59" s="93" t="s">
        <v>714</v>
      </c>
      <c r="G59" s="163" t="s">
        <v>716</v>
      </c>
      <c r="H59" s="174">
        <f>H46*H45*H45*0.25-(H46-H47)*(H45-2*H48)^2*0.25</f>
        <v>0</v>
      </c>
      <c r="I59" s="93" t="s">
        <v>714</v>
      </c>
      <c r="J59" s="62"/>
      <c r="K59" s="174" t="s">
        <v>836</v>
      </c>
      <c r="L59" s="198">
        <f>0.5*L62/SQRT((E55/10000)/(E53/100))*SQRT(E49/M6/PI()/PI())</f>
        <v>0.41021509793203936</v>
      </c>
      <c r="M59" s="150">
        <f>IF(L59&lt;=1.5,(0.658^(L59*L59))*E49*E53/100,0.877/L59/L59*E49*E53/100)</f>
        <v>400.07017028213556</v>
      </c>
      <c r="N59" s="150">
        <f>IF(AND(E63&lt;E65,E66&lt;E68),E61,0)</f>
        <v>6113.3291999999992</v>
      </c>
      <c r="O59" s="228">
        <f>IF(N49/(0.85*M59)&gt;=0.2,N49/(0.85*M59)+8*O49/(9*0.9*N59),N49/(2*0.85*M59)+O49/(0.9*N59))</f>
        <v>0.88326781237363627</v>
      </c>
      <c r="P59" s="217" t="str">
        <f t="shared" si="22"/>
        <v>OK</v>
      </c>
      <c r="Q59" s="173" t="s">
        <v>986</v>
      </c>
      <c r="R59" s="212" t="s">
        <v>983</v>
      </c>
      <c r="S59" s="173" t="s">
        <v>989</v>
      </c>
      <c r="T59" s="211" t="s">
        <v>984</v>
      </c>
      <c r="U59" s="211"/>
      <c r="W59" s="211"/>
    </row>
    <row r="60" spans="1:23" ht="18.75" thickBot="1">
      <c r="A60" s="165" t="s">
        <v>717</v>
      </c>
      <c r="B60" s="146">
        <f>B48*B46*B46*0.25*2+(B45-2*B48)*B47*B47*0.25</f>
        <v>1523760</v>
      </c>
      <c r="C60" s="166" t="s">
        <v>714</v>
      </c>
      <c r="D60" s="165" t="s">
        <v>717</v>
      </c>
      <c r="E60" s="146">
        <f>E48*E46*E46*0.25*2+(E45-2*E48)*E47*E47*0.25</f>
        <v>612726</v>
      </c>
      <c r="F60" s="166" t="s">
        <v>714</v>
      </c>
      <c r="G60" s="165" t="s">
        <v>717</v>
      </c>
      <c r="H60" s="146">
        <f>H48*H46*H46*0.25*2+(H45-2*H48)*H47*H47*0.25</f>
        <v>0</v>
      </c>
      <c r="I60" s="166" t="s">
        <v>714</v>
      </c>
      <c r="J60" s="62"/>
      <c r="K60" s="174" t="s">
        <v>814</v>
      </c>
      <c r="L60" s="198">
        <f>0.5*L62/SQRT((B55/10000)/(B53/100))*SQRT(B49/M6/PI()/PI())</f>
        <v>0.28499995065561878</v>
      </c>
      <c r="M60" s="150">
        <f>IF(L60&lt;=1.5,(0.658^(L60*L60))*B49*B53/100,0.877/L60/L60*B49*B53/100)</f>
        <v>701.22284844356875</v>
      </c>
      <c r="N60" s="150">
        <f>IF(AND(B63&lt;B65,B66&lt;B68),B61,0)</f>
        <v>10705.3056</v>
      </c>
      <c r="O60" s="228">
        <f>IF(N50/(0.85*M60)&gt;=0.2,N50/(0.85*M60)+8*O50/(9*0.9*N60),N50/(2*0.85*M60)+O50/(0.9*N60))</f>
        <v>0.59169867987494862</v>
      </c>
      <c r="P60" s="217" t="str">
        <f t="shared" si="22"/>
        <v>OK</v>
      </c>
    </row>
    <row r="61" spans="1:23">
      <c r="A61" s="167" t="s">
        <v>719</v>
      </c>
      <c r="B61" s="168">
        <f>B59*B49/1000</f>
        <v>10705.3056</v>
      </c>
      <c r="C61" s="99" t="s">
        <v>721</v>
      </c>
      <c r="D61" s="167" t="s">
        <v>719</v>
      </c>
      <c r="E61" s="168">
        <f>E59*E49/1000</f>
        <v>6113.3291999999992</v>
      </c>
      <c r="F61" s="99" t="s">
        <v>721</v>
      </c>
      <c r="G61" s="167" t="s">
        <v>719</v>
      </c>
      <c r="H61" s="168">
        <f>H59*H49/1000</f>
        <v>0</v>
      </c>
      <c r="I61" s="99" t="s">
        <v>721</v>
      </c>
      <c r="J61" s="62"/>
      <c r="K61" s="174" t="s">
        <v>838</v>
      </c>
      <c r="L61" s="198">
        <f>0.5*L62/SQRT((B55/10000)/(B53/100))*SQRT(B49/M6/PI()/PI())</f>
        <v>0.28499995065561878</v>
      </c>
      <c r="M61" s="150">
        <f>IF(L61&lt;=1.5,(0.658^(L61*L61))*B49*B53/100,0.877/L61/L61*B49*B53/100)</f>
        <v>701.22284844356875</v>
      </c>
      <c r="N61" s="150">
        <f>IF(AND(B63&lt;B65,B66&lt;B68),B61,0)</f>
        <v>10705.3056</v>
      </c>
      <c r="O61" s="228">
        <f>O60</f>
        <v>0.59169867987494862</v>
      </c>
      <c r="P61" s="217" t="str">
        <f t="shared" si="22"/>
        <v>OK</v>
      </c>
    </row>
    <row r="62" spans="1:23" ht="17.25" customHeight="1" thickBot="1">
      <c r="A62" s="164" t="s">
        <v>720</v>
      </c>
      <c r="B62" s="94">
        <f>0.6*(B45-B48-B48)*B47*B49/10/10</f>
        <v>98.841599999999985</v>
      </c>
      <c r="C62" s="95" t="s">
        <v>722</v>
      </c>
      <c r="D62" s="164" t="s">
        <v>720</v>
      </c>
      <c r="E62" s="94">
        <f>0.6*(E45-E48-E48)*E47*E49/10/10</f>
        <v>67.95359999999998</v>
      </c>
      <c r="F62" s="95" t="s">
        <v>722</v>
      </c>
      <c r="G62" s="164" t="s">
        <v>720</v>
      </c>
      <c r="H62" s="94">
        <f>0.6*(H45-H48-H48)*H47*H49/10/10</f>
        <v>0</v>
      </c>
      <c r="I62" s="95" t="s">
        <v>722</v>
      </c>
      <c r="J62" s="62"/>
      <c r="K62" s="250" t="s">
        <v>1049</v>
      </c>
      <c r="L62" s="250">
        <v>400</v>
      </c>
      <c r="O62" s="225" t="s">
        <v>941</v>
      </c>
      <c r="P62" s="211"/>
    </row>
    <row r="63" spans="1:23" ht="16.5" customHeight="1">
      <c r="A63" s="205" t="s">
        <v>745</v>
      </c>
      <c r="B63" s="168">
        <f>B46*0.5/B48</f>
        <v>7.375</v>
      </c>
      <c r="C63" s="93"/>
      <c r="D63" s="204" t="s">
        <v>745</v>
      </c>
      <c r="E63" s="168">
        <f>E46*0.5/E48</f>
        <v>6.6315789473684212</v>
      </c>
      <c r="F63" s="93"/>
      <c r="G63" s="168" t="s">
        <v>745</v>
      </c>
      <c r="H63" s="168" t="e">
        <f>H46*0.5/H48</f>
        <v>#DIV/0!</v>
      </c>
      <c r="I63" s="99"/>
      <c r="J63" s="62"/>
      <c r="K63" s="308" t="s">
        <v>976</v>
      </c>
      <c r="L63" s="308"/>
      <c r="M63" s="308" t="s">
        <v>973</v>
      </c>
      <c r="N63" s="308"/>
    </row>
    <row r="64" spans="1:23">
      <c r="A64" s="163" t="s">
        <v>746</v>
      </c>
      <c r="B64" s="174">
        <f>25/SQRT(B49)</f>
        <v>13.762047064079509</v>
      </c>
      <c r="C64" s="93"/>
      <c r="D64" s="174" t="s">
        <v>746</v>
      </c>
      <c r="E64" s="174">
        <f>25/SQRT(E49)</f>
        <v>13.762047064079509</v>
      </c>
      <c r="F64" s="93"/>
      <c r="G64" s="174" t="s">
        <v>746</v>
      </c>
      <c r="H64" s="174">
        <f>25/SQRT(H49)</f>
        <v>13.363062095621219</v>
      </c>
      <c r="I64" s="93"/>
      <c r="J64" s="62"/>
      <c r="K64" s="308"/>
      <c r="L64" s="308"/>
      <c r="M64" s="308"/>
      <c r="N64" s="308"/>
    </row>
    <row r="65" spans="1:21" ht="15.75" customHeight="1">
      <c r="A65" s="200" t="s">
        <v>747</v>
      </c>
      <c r="B65" s="174">
        <f>16/SQRT(B49)</f>
        <v>8.807710121010885</v>
      </c>
      <c r="C65" s="93"/>
      <c r="D65" s="199" t="s">
        <v>747</v>
      </c>
      <c r="E65" s="174">
        <f>16/SQRT(E49)</f>
        <v>8.807710121010885</v>
      </c>
      <c r="F65" s="93"/>
      <c r="G65" s="174" t="s">
        <v>747</v>
      </c>
      <c r="H65" s="174">
        <f>16/SQRT(H49)</f>
        <v>8.5523597411975807</v>
      </c>
      <c r="I65" s="93"/>
      <c r="J65" s="62"/>
      <c r="K65" s="308" t="s">
        <v>977</v>
      </c>
      <c r="L65" s="308"/>
      <c r="M65" s="308" t="s">
        <v>974</v>
      </c>
      <c r="N65" s="308"/>
    </row>
    <row r="66" spans="1:21">
      <c r="A66" s="200" t="s">
        <v>748</v>
      </c>
      <c r="B66" s="174">
        <f>(B45-B48-B48)/B47</f>
        <v>19.5</v>
      </c>
      <c r="C66" s="93"/>
      <c r="D66" s="199" t="s">
        <v>748</v>
      </c>
      <c r="E66" s="174">
        <f>(E45-E48-E48)/E47</f>
        <v>28.363636363636363</v>
      </c>
      <c r="F66" s="93"/>
      <c r="G66" s="174" t="s">
        <v>748</v>
      </c>
      <c r="H66" s="174" t="e">
        <f>(H45-H48-H48)/H47</f>
        <v>#DIV/0!</v>
      </c>
      <c r="I66" s="93"/>
      <c r="J66" s="62"/>
      <c r="K66" s="308"/>
      <c r="L66" s="308"/>
      <c r="M66" s="211"/>
      <c r="N66" s="211"/>
    </row>
    <row r="67" spans="1:21" ht="16.5" customHeight="1">
      <c r="A67" s="163" t="s">
        <v>749</v>
      </c>
      <c r="B67" s="174">
        <f>260/SQRT(B49)</f>
        <v>143.12528946642689</v>
      </c>
      <c r="C67" s="93"/>
      <c r="D67" s="174" t="s">
        <v>749</v>
      </c>
      <c r="E67" s="174">
        <f>260/SQRT(E49)</f>
        <v>143.12528946642689</v>
      </c>
      <c r="F67" s="93"/>
      <c r="G67" s="174" t="s">
        <v>749</v>
      </c>
      <c r="H67" s="174">
        <f>260/SQRT(H49)</f>
        <v>138.9758457944607</v>
      </c>
      <c r="I67" s="93"/>
      <c r="J67" s="62"/>
      <c r="K67" s="308" t="s">
        <v>978</v>
      </c>
      <c r="L67" s="308"/>
    </row>
    <row r="68" spans="1:21" ht="17.25" thickBot="1">
      <c r="A68" s="202" t="s">
        <v>750</v>
      </c>
      <c r="B68" s="94">
        <f>170/SQRT(B49)</f>
        <v>93.581920035740652</v>
      </c>
      <c r="C68" s="95"/>
      <c r="D68" s="201" t="s">
        <v>750</v>
      </c>
      <c r="E68" s="94">
        <f>170/SQRT(E49)</f>
        <v>93.581920035740652</v>
      </c>
      <c r="F68" s="95"/>
      <c r="G68" s="94" t="s">
        <v>750</v>
      </c>
      <c r="H68" s="94">
        <f>170/SQRT(H49)</f>
        <v>90.868822250224298</v>
      </c>
      <c r="I68" s="95"/>
      <c r="J68" s="62"/>
      <c r="K68" s="315" t="s">
        <v>1020</v>
      </c>
      <c r="L68" s="315"/>
    </row>
    <row r="69" spans="1:21">
      <c r="A69" s="176" t="s">
        <v>928</v>
      </c>
      <c r="B69" s="173">
        <f>14/SQRT(B49)</f>
        <v>7.7067463558845244</v>
      </c>
      <c r="D69" s="176" t="s">
        <v>928</v>
      </c>
      <c r="E69" s="173">
        <f>14/SQRT(E49)</f>
        <v>7.7067463558845244</v>
      </c>
      <c r="J69" s="62"/>
      <c r="M69" s="153"/>
    </row>
    <row r="70" spans="1:21">
      <c r="A70" s="176" t="s">
        <v>929</v>
      </c>
      <c r="B70" s="173">
        <f>138/SQRT(B49)</f>
        <v>75.966499793718882</v>
      </c>
      <c r="D70" s="176" t="s">
        <v>929</v>
      </c>
      <c r="E70" s="173">
        <f>138/SQRT(E49)</f>
        <v>75.966499793718882</v>
      </c>
      <c r="J70" s="62"/>
    </row>
    <row r="71" spans="1:21">
      <c r="A71" s="176"/>
      <c r="D71" s="176"/>
      <c r="J71" s="62"/>
    </row>
    <row r="72" spans="1:21">
      <c r="A72" s="176"/>
      <c r="D72" s="176"/>
      <c r="J72" s="62"/>
    </row>
    <row r="73" spans="1:21" ht="16.5" thickBot="1">
      <c r="A73" s="176"/>
      <c r="D73" s="176"/>
      <c r="J73" s="62"/>
    </row>
    <row r="74" spans="1:21">
      <c r="A74" s="302" t="s">
        <v>834</v>
      </c>
      <c r="B74" s="303"/>
      <c r="C74" s="304"/>
      <c r="D74" s="302" t="s">
        <v>930</v>
      </c>
      <c r="E74" s="303"/>
      <c r="F74" s="304"/>
      <c r="G74" s="302" t="s">
        <v>839</v>
      </c>
      <c r="H74" s="303"/>
      <c r="I74" s="304"/>
      <c r="J74" s="62"/>
      <c r="N74" s="215" t="s">
        <v>1005</v>
      </c>
    </row>
    <row r="75" spans="1:21" ht="16.5">
      <c r="A75" s="156" t="s">
        <v>698</v>
      </c>
      <c r="B75" s="157">
        <v>378</v>
      </c>
      <c r="C75" s="158" t="s">
        <v>699</v>
      </c>
      <c r="D75" s="156" t="s">
        <v>698</v>
      </c>
      <c r="E75" s="157">
        <v>368</v>
      </c>
      <c r="F75" s="158" t="s">
        <v>699</v>
      </c>
      <c r="G75" s="156" t="s">
        <v>698</v>
      </c>
      <c r="H75" s="157">
        <v>0</v>
      </c>
      <c r="I75" s="158" t="s">
        <v>699</v>
      </c>
      <c r="J75" s="62"/>
      <c r="K75" s="172" t="s">
        <v>778</v>
      </c>
      <c r="N75" s="215" t="s">
        <v>994</v>
      </c>
    </row>
    <row r="76" spans="1:21" ht="29.25" customHeight="1">
      <c r="A76" s="156" t="s">
        <v>700</v>
      </c>
      <c r="B76" s="157">
        <v>358</v>
      </c>
      <c r="C76" s="158" t="s">
        <v>699</v>
      </c>
      <c r="D76" s="156" t="s">
        <v>700</v>
      </c>
      <c r="E76" s="157">
        <v>356</v>
      </c>
      <c r="F76" s="158" t="s">
        <v>699</v>
      </c>
      <c r="G76" s="156" t="s">
        <v>700</v>
      </c>
      <c r="H76" s="157">
        <v>0</v>
      </c>
      <c r="I76" s="158" t="s">
        <v>699</v>
      </c>
      <c r="K76" s="181" t="s">
        <v>757</v>
      </c>
      <c r="L76" s="174" t="s">
        <v>771</v>
      </c>
      <c r="M76" s="174" t="s">
        <v>772</v>
      </c>
      <c r="N76" s="229" t="s">
        <v>779</v>
      </c>
      <c r="O76" s="316" t="s">
        <v>758</v>
      </c>
      <c r="P76" s="317"/>
      <c r="Q76" s="317"/>
      <c r="R76" s="317"/>
      <c r="S76" s="317"/>
      <c r="T76" s="317"/>
      <c r="U76" s="318"/>
    </row>
    <row r="77" spans="1:21">
      <c r="A77" s="156" t="s">
        <v>701</v>
      </c>
      <c r="B77" s="157">
        <v>20</v>
      </c>
      <c r="C77" s="158" t="s">
        <v>699</v>
      </c>
      <c r="D77" s="156" t="s">
        <v>701</v>
      </c>
      <c r="E77" s="157">
        <v>18</v>
      </c>
      <c r="F77" s="158" t="s">
        <v>699</v>
      </c>
      <c r="G77" s="156" t="s">
        <v>701</v>
      </c>
      <c r="H77" s="157">
        <v>0</v>
      </c>
      <c r="I77" s="158" t="s">
        <v>699</v>
      </c>
      <c r="K77" s="174" t="s">
        <v>824</v>
      </c>
      <c r="L77" s="150">
        <f t="shared" ref="L77:M82" si="23">L46</f>
        <v>0</v>
      </c>
      <c r="M77" s="150">
        <f t="shared" si="23"/>
        <v>0</v>
      </c>
      <c r="N77" s="229">
        <v>0</v>
      </c>
      <c r="O77" s="248">
        <f>H75</f>
        <v>0</v>
      </c>
      <c r="P77" s="192" t="s">
        <v>759</v>
      </c>
      <c r="Q77" s="248">
        <f>H76</f>
        <v>0</v>
      </c>
      <c r="R77" s="192" t="s">
        <v>759</v>
      </c>
      <c r="S77" s="248">
        <f>H77</f>
        <v>0</v>
      </c>
      <c r="T77" s="193" t="s">
        <v>759</v>
      </c>
      <c r="U77" s="248">
        <f>H78</f>
        <v>0</v>
      </c>
    </row>
    <row r="78" spans="1:21">
      <c r="A78" s="156" t="s">
        <v>702</v>
      </c>
      <c r="B78" s="157">
        <v>33</v>
      </c>
      <c r="C78" s="158" t="s">
        <v>699</v>
      </c>
      <c r="D78" s="156" t="s">
        <v>702</v>
      </c>
      <c r="E78" s="157">
        <v>28</v>
      </c>
      <c r="F78" s="158" t="s">
        <v>699</v>
      </c>
      <c r="G78" s="156" t="s">
        <v>702</v>
      </c>
      <c r="H78" s="157">
        <v>0</v>
      </c>
      <c r="I78" s="158" t="s">
        <v>699</v>
      </c>
      <c r="J78" s="190"/>
      <c r="K78" s="174" t="s">
        <v>822</v>
      </c>
      <c r="L78" s="150">
        <f t="shared" si="23"/>
        <v>0</v>
      </c>
      <c r="M78" s="150">
        <f t="shared" si="23"/>
        <v>0</v>
      </c>
      <c r="N78" s="220">
        <f>M77*SIN(G2)</f>
        <v>0</v>
      </c>
      <c r="O78" s="248">
        <f>O77</f>
        <v>0</v>
      </c>
      <c r="P78" s="192" t="s">
        <v>759</v>
      </c>
      <c r="Q78" s="248">
        <f>Q77</f>
        <v>0</v>
      </c>
      <c r="R78" s="192" t="s">
        <v>759</v>
      </c>
      <c r="S78" s="248">
        <f>S77</f>
        <v>0</v>
      </c>
      <c r="T78" s="193" t="s">
        <v>759</v>
      </c>
      <c r="U78" s="248">
        <f>U77</f>
        <v>0</v>
      </c>
    </row>
    <row r="79" spans="1:21">
      <c r="A79" s="156" t="s">
        <v>703</v>
      </c>
      <c r="B79" s="62">
        <v>3.3</v>
      </c>
      <c r="C79" s="158" t="s">
        <v>718</v>
      </c>
      <c r="D79" s="156" t="s">
        <v>703</v>
      </c>
      <c r="E79" s="62">
        <v>3.3</v>
      </c>
      <c r="F79" s="158" t="s">
        <v>718</v>
      </c>
      <c r="G79" s="156" t="s">
        <v>703</v>
      </c>
      <c r="H79" s="62">
        <v>3.5</v>
      </c>
      <c r="I79" s="158" t="s">
        <v>718</v>
      </c>
      <c r="J79" s="62"/>
      <c r="K79" s="174" t="s">
        <v>837</v>
      </c>
      <c r="L79" s="150">
        <f t="shared" si="23"/>
        <v>197.68319999999997</v>
      </c>
      <c r="M79" s="150">
        <f t="shared" si="23"/>
        <v>217.45151999999999</v>
      </c>
      <c r="N79" s="226">
        <f>M78*SIN(G3)+N78</f>
        <v>0</v>
      </c>
      <c r="O79" s="248">
        <f>E75</f>
        <v>368</v>
      </c>
      <c r="P79" s="192" t="s">
        <v>759</v>
      </c>
      <c r="Q79" s="248">
        <f>E76</f>
        <v>356</v>
      </c>
      <c r="R79" s="192" t="s">
        <v>759</v>
      </c>
      <c r="S79" s="248">
        <f>E77</f>
        <v>18</v>
      </c>
      <c r="T79" s="193" t="s">
        <v>759</v>
      </c>
      <c r="U79" s="248">
        <f>E78</f>
        <v>28</v>
      </c>
    </row>
    <row r="80" spans="1:21" ht="16.5">
      <c r="A80" s="159"/>
      <c r="B80" s="160"/>
      <c r="C80" s="161"/>
      <c r="D80" s="156"/>
      <c r="E80" s="62"/>
      <c r="F80" s="158"/>
      <c r="G80" s="156"/>
      <c r="H80" s="62"/>
      <c r="I80" s="158"/>
      <c r="J80" s="62"/>
      <c r="K80" s="174" t="s">
        <v>836</v>
      </c>
      <c r="L80" s="150">
        <f t="shared" si="23"/>
        <v>197.68319999999997</v>
      </c>
      <c r="M80" s="150">
        <f t="shared" si="23"/>
        <v>217.45151999999999</v>
      </c>
      <c r="N80" s="226">
        <f>M79*SIN(G4)+N79</f>
        <v>153.76144437132214</v>
      </c>
      <c r="O80" s="248">
        <f>O79</f>
        <v>368</v>
      </c>
      <c r="P80" s="193" t="s">
        <v>759</v>
      </c>
      <c r="Q80" s="248">
        <f>Q79</f>
        <v>356</v>
      </c>
      <c r="R80" s="193" t="s">
        <v>759</v>
      </c>
      <c r="S80" s="248">
        <f>S79</f>
        <v>18</v>
      </c>
      <c r="T80" s="193" t="s">
        <v>759</v>
      </c>
      <c r="U80" s="248">
        <f>U79</f>
        <v>28</v>
      </c>
    </row>
    <row r="81" spans="1:21" ht="16.5">
      <c r="A81" s="162" t="s">
        <v>704</v>
      </c>
      <c r="B81" s="160"/>
      <c r="C81" s="161"/>
      <c r="D81" s="162" t="s">
        <v>704</v>
      </c>
      <c r="E81" s="160"/>
      <c r="F81" s="161"/>
      <c r="G81" s="162" t="s">
        <v>704</v>
      </c>
      <c r="H81" s="160"/>
      <c r="I81" s="161"/>
      <c r="J81" s="62"/>
      <c r="K81" s="174" t="s">
        <v>814</v>
      </c>
      <c r="L81" s="150">
        <f t="shared" si="23"/>
        <v>232.00319999999999</v>
      </c>
      <c r="M81" s="150">
        <f t="shared" si="23"/>
        <v>255.20352000000003</v>
      </c>
      <c r="N81" s="226">
        <f>M80*SIN(G5)+N80</f>
        <v>307.52288874264428</v>
      </c>
      <c r="O81" s="248">
        <f>B75</f>
        <v>378</v>
      </c>
      <c r="P81" s="193" t="s">
        <v>759</v>
      </c>
      <c r="Q81" s="248">
        <f>B76</f>
        <v>358</v>
      </c>
      <c r="R81" s="193" t="s">
        <v>759</v>
      </c>
      <c r="S81" s="248">
        <f>B77</f>
        <v>20</v>
      </c>
      <c r="T81" s="193" t="s">
        <v>759</v>
      </c>
      <c r="U81" s="248">
        <f>B78</f>
        <v>33</v>
      </c>
    </row>
    <row r="82" spans="1:21" ht="21" customHeight="1">
      <c r="A82" s="163" t="s">
        <v>705</v>
      </c>
      <c r="B82" s="174"/>
      <c r="C82" s="93"/>
      <c r="D82" s="163" t="s">
        <v>705</v>
      </c>
      <c r="E82" s="174"/>
      <c r="F82" s="93"/>
      <c r="G82" s="163" t="s">
        <v>705</v>
      </c>
      <c r="H82" s="174"/>
      <c r="I82" s="93"/>
      <c r="J82" s="62"/>
      <c r="K82" s="174" t="s">
        <v>838</v>
      </c>
      <c r="L82" s="150">
        <f t="shared" si="23"/>
        <v>232.00319999999999</v>
      </c>
      <c r="M82" s="150">
        <f t="shared" si="23"/>
        <v>255.20352000000003</v>
      </c>
      <c r="N82" s="226">
        <f>M81*SIN(G6)+N81</f>
        <v>487.97902831732097</v>
      </c>
      <c r="O82" s="248">
        <f>O81</f>
        <v>378</v>
      </c>
      <c r="P82" s="193" t="s">
        <v>759</v>
      </c>
      <c r="Q82" s="248">
        <f>Q81</f>
        <v>358</v>
      </c>
      <c r="R82" s="193" t="s">
        <v>759</v>
      </c>
      <c r="S82" s="248">
        <f>S81</f>
        <v>20</v>
      </c>
      <c r="T82" s="193" t="s">
        <v>759</v>
      </c>
      <c r="U82" s="248">
        <f>U81</f>
        <v>33</v>
      </c>
    </row>
    <row r="83" spans="1:21" ht="18">
      <c r="A83" s="163" t="s">
        <v>707</v>
      </c>
      <c r="B83" s="174">
        <f>B76*B78*2+(B75-B78-B78)*B77</f>
        <v>29868</v>
      </c>
      <c r="C83" s="93" t="s">
        <v>708</v>
      </c>
      <c r="D83" s="163" t="s">
        <v>707</v>
      </c>
      <c r="E83" s="174">
        <f>E76*E78*2+(E75-E78-E78)*E77</f>
        <v>25552</v>
      </c>
      <c r="F83" s="93" t="s">
        <v>708</v>
      </c>
      <c r="G83" s="163" t="s">
        <v>707</v>
      </c>
      <c r="H83" s="174">
        <f>H76*H78*2+(H75-H78-H78)*H77</f>
        <v>0</v>
      </c>
      <c r="I83" s="93" t="s">
        <v>708</v>
      </c>
      <c r="J83" s="62"/>
    </row>
    <row r="84" spans="1:21" ht="18">
      <c r="A84" s="163" t="s">
        <v>709</v>
      </c>
      <c r="B84" s="174">
        <f>(B77*(B75-B78-B78)^3)/12+2*(B76*B78*B78*B78/12+B76*B78*(B75*0.5-0.5*B78)^2)</f>
        <v>755843796</v>
      </c>
      <c r="C84" s="93" t="s">
        <v>710</v>
      </c>
      <c r="D84" s="163" t="s">
        <v>709</v>
      </c>
      <c r="E84" s="174">
        <f>(E77*(E75-E78-E78)^3)/12+2*(E76*E78*E78*E78/12+E76*E78*(E75*0.5-0.5*E78)^2)</f>
        <v>623009877.33333337</v>
      </c>
      <c r="F84" s="93" t="s">
        <v>710</v>
      </c>
      <c r="G84" s="163" t="s">
        <v>709</v>
      </c>
      <c r="H84" s="174">
        <f>(H77*(H75-H78-H78)^3)/12+2*(H76*H78*H78*H78/12+H76*H78*(H75*0.5-0.5*H78)^2)</f>
        <v>0</v>
      </c>
      <c r="I84" s="93" t="s">
        <v>710</v>
      </c>
      <c r="J84" s="62"/>
    </row>
    <row r="85" spans="1:21" ht="18">
      <c r="A85" s="163" t="s">
        <v>711</v>
      </c>
      <c r="B85" s="174">
        <f>(B75-B78-B78)*B77*B77*B77/12+B78*B76*B76*B76*2/12</f>
        <v>252562916</v>
      </c>
      <c r="C85" s="93" t="s">
        <v>710</v>
      </c>
      <c r="D85" s="163" t="s">
        <v>711</v>
      </c>
      <c r="E85" s="174">
        <f>(E75-E78-E78)*E77*E77*E77/12+E78*E76*E76*E76*2/12</f>
        <v>210702373.33333334</v>
      </c>
      <c r="F85" s="93" t="s">
        <v>710</v>
      </c>
      <c r="G85" s="163" t="s">
        <v>711</v>
      </c>
      <c r="H85" s="174">
        <f>(H75-H78-H78)*H77*H77*H77/12+H78*H76*H76*H76*2/12</f>
        <v>0</v>
      </c>
      <c r="I85" s="93" t="s">
        <v>710</v>
      </c>
      <c r="J85" s="160"/>
      <c r="K85" s="172" t="s">
        <v>777</v>
      </c>
      <c r="M85" s="212" t="s">
        <v>995</v>
      </c>
    </row>
    <row r="86" spans="1:21" ht="18.75">
      <c r="A86" s="163" t="s">
        <v>712</v>
      </c>
      <c r="B86" s="174">
        <f>(B75-B78-B78)*B77*B77*B77/3+B76*B78*B78*B78/3*2</f>
        <v>9408964</v>
      </c>
      <c r="C86" s="93" t="s">
        <v>710</v>
      </c>
      <c r="D86" s="163" t="s">
        <v>712</v>
      </c>
      <c r="E86" s="174">
        <f>(E75-E78-E78)*E77*E77*E77/3+E76*E78*E78*E78/3*2</f>
        <v>5816469.333333333</v>
      </c>
      <c r="F86" s="93" t="s">
        <v>710</v>
      </c>
      <c r="G86" s="163" t="s">
        <v>712</v>
      </c>
      <c r="H86" s="174">
        <f>(H75-H78-H78)*H77*H77*H77/3+H76*H78*H78*H78/3*2</f>
        <v>0</v>
      </c>
      <c r="I86" s="93" t="s">
        <v>710</v>
      </c>
      <c r="J86" s="62"/>
      <c r="K86" s="174" t="s">
        <v>730</v>
      </c>
      <c r="L86" s="209" t="s">
        <v>1048</v>
      </c>
      <c r="M86" s="209" t="s">
        <v>742</v>
      </c>
      <c r="N86" s="224" t="s">
        <v>741</v>
      </c>
      <c r="O86" s="224" t="s">
        <v>1021</v>
      </c>
    </row>
    <row r="87" spans="1:21" ht="18">
      <c r="A87" s="163" t="s">
        <v>713</v>
      </c>
      <c r="B87" s="174">
        <f>B84/(B75/2)</f>
        <v>3999173.5238095238</v>
      </c>
      <c r="C87" s="93" t="s">
        <v>714</v>
      </c>
      <c r="D87" s="163" t="s">
        <v>713</v>
      </c>
      <c r="E87" s="174">
        <f>E84/(E75/2)</f>
        <v>3385923.246376812</v>
      </c>
      <c r="F87" s="93" t="s">
        <v>714</v>
      </c>
      <c r="G87" s="163" t="s">
        <v>713</v>
      </c>
      <c r="H87" s="174" t="e">
        <f>H84/(H75/2)</f>
        <v>#DIV/0!</v>
      </c>
      <c r="I87" s="93" t="s">
        <v>714</v>
      </c>
      <c r="J87" s="62"/>
      <c r="K87" s="174" t="s">
        <v>824</v>
      </c>
      <c r="L87" s="209" t="e">
        <f>0.7*425/SQRT((H85/10000)/(H83/100))*SQRT(3.52/2039/PI()/PI())</f>
        <v>#DIV/0!</v>
      </c>
      <c r="M87" s="209" t="e">
        <f>IF(L87&lt;=1.5,(0.658^(L87*L87))*3.52*H83/100,0.877/L87/L87*3.52*H83/100)</f>
        <v>#DIV/0!</v>
      </c>
      <c r="N87" s="222" t="e">
        <f t="shared" ref="N87:N92" si="24">N77/(0.85*M87)</f>
        <v>#DIV/0!</v>
      </c>
      <c r="O87" s="224" t="e">
        <f t="shared" ref="O87:O92" si="25">IF(N87&lt;1,"OK","NG")</f>
        <v>#DIV/0!</v>
      </c>
    </row>
    <row r="88" spans="1:21" ht="18">
      <c r="A88" s="163" t="s">
        <v>715</v>
      </c>
      <c r="B88" s="174">
        <f>B85/(B76/2)</f>
        <v>1410966.0111731843</v>
      </c>
      <c r="C88" s="93" t="s">
        <v>714</v>
      </c>
      <c r="D88" s="163" t="s">
        <v>715</v>
      </c>
      <c r="E88" s="174">
        <f>E85/(E76/2)</f>
        <v>1183721.1985018728</v>
      </c>
      <c r="F88" s="93" t="s">
        <v>714</v>
      </c>
      <c r="G88" s="163" t="s">
        <v>715</v>
      </c>
      <c r="H88" s="174" t="e">
        <f>H85/(H76/2)</f>
        <v>#DIV/0!</v>
      </c>
      <c r="I88" s="93" t="s">
        <v>714</v>
      </c>
      <c r="J88" s="62"/>
      <c r="K88" s="174" t="s">
        <v>822</v>
      </c>
      <c r="L88" s="209" t="e">
        <f>0.7*425/SQRT((H85/10000)/(H83/100))*SQRT(3.52/2039/PI()/PI())</f>
        <v>#DIV/0!</v>
      </c>
      <c r="M88" s="209" t="e">
        <f>IF(L88&lt;=1.5,(0.658^(L88*L88))*3.52*H83/100,0.877/L88/L88*3.52*H83/100)</f>
        <v>#DIV/0!</v>
      </c>
      <c r="N88" s="222" t="e">
        <f t="shared" si="24"/>
        <v>#DIV/0!</v>
      </c>
      <c r="O88" s="224" t="e">
        <f t="shared" si="25"/>
        <v>#DIV/0!</v>
      </c>
    </row>
    <row r="89" spans="1:21" ht="18">
      <c r="A89" s="163" t="s">
        <v>716</v>
      </c>
      <c r="B89" s="174">
        <f>B76*B75*B75*0.25-(B76-B77)*((B75-2*B78)^2)*0.25</f>
        <v>4562550</v>
      </c>
      <c r="C89" s="93" t="s">
        <v>714</v>
      </c>
      <c r="D89" s="163" t="s">
        <v>716</v>
      </c>
      <c r="E89" s="174">
        <f>E76*E75*E75*0.25-(E76-E77)*(E75-2*E78)^2*0.25</f>
        <v>3827168</v>
      </c>
      <c r="F89" s="93" t="s">
        <v>714</v>
      </c>
      <c r="G89" s="163" t="s">
        <v>716</v>
      </c>
      <c r="H89" s="174">
        <f>H76*H75*H75*0.25-(H76-H77)*(H75-2*H78)^2*0.25</f>
        <v>0</v>
      </c>
      <c r="I89" s="93" t="s">
        <v>714</v>
      </c>
      <c r="J89" s="62"/>
      <c r="K89" s="174" t="s">
        <v>837</v>
      </c>
      <c r="L89" s="249">
        <f>0.5*L93/SQRT((E85/10000)/(E83/100))*SQRT(E79/M6/PI()/PI())</f>
        <v>0.28205534520763664</v>
      </c>
      <c r="M89" s="177">
        <f>IF(L89&lt;=1.5,(0.658^(L89*L89))*E79*E83/100,0.877/L89/L89*E79*E83/100)</f>
        <v>815.60101965347383</v>
      </c>
      <c r="N89" s="222">
        <f t="shared" si="24"/>
        <v>0</v>
      </c>
      <c r="O89" s="224" t="str">
        <f t="shared" si="25"/>
        <v>OK</v>
      </c>
      <c r="Q89" s="203"/>
    </row>
    <row r="90" spans="1:21" ht="18.75" thickBot="1">
      <c r="A90" s="165" t="s">
        <v>717</v>
      </c>
      <c r="B90" s="146">
        <f>B78*B76*B76*0.25*2+(B75-2*B78)*B77*B77*0.25</f>
        <v>2145906</v>
      </c>
      <c r="C90" s="166" t="s">
        <v>714</v>
      </c>
      <c r="D90" s="165" t="s">
        <v>717</v>
      </c>
      <c r="E90" s="146">
        <f>E78*E76*E76*0.25*2+(E75-2*E78)*E77*E77*0.25</f>
        <v>1799576</v>
      </c>
      <c r="F90" s="166" t="s">
        <v>714</v>
      </c>
      <c r="G90" s="165" t="s">
        <v>717</v>
      </c>
      <c r="H90" s="146">
        <f>H78*H76*H76*0.25*2+(H75-2*H78)*H77*H77*0.25</f>
        <v>0</v>
      </c>
      <c r="I90" s="166" t="s">
        <v>714</v>
      </c>
      <c r="J90" s="62"/>
      <c r="K90" s="174" t="s">
        <v>836</v>
      </c>
      <c r="L90" s="249">
        <f>0.5*L93/SQRT((E85/10000)/(E83/100))*SQRT(E79/M6/PI()/PI())</f>
        <v>0.28205534520763664</v>
      </c>
      <c r="M90" s="177">
        <f>IF(L90&lt;=1.5,(0.658^(L90*L90))*E79*E83/100,0.877/L90/L90*E79*E83/100)</f>
        <v>815.60101965347383</v>
      </c>
      <c r="N90" s="222">
        <f t="shared" si="24"/>
        <v>0.22179449577477897</v>
      </c>
      <c r="O90" s="224" t="str">
        <f t="shared" si="25"/>
        <v>OK</v>
      </c>
    </row>
    <row r="91" spans="1:21">
      <c r="A91" s="167" t="s">
        <v>719</v>
      </c>
      <c r="B91" s="168">
        <f>B89*B79/1000</f>
        <v>15056.415000000001</v>
      </c>
      <c r="C91" s="99" t="s">
        <v>721</v>
      </c>
      <c r="D91" s="167" t="s">
        <v>719</v>
      </c>
      <c r="E91" s="168">
        <f>E89*E79/1000</f>
        <v>12629.654399999998</v>
      </c>
      <c r="F91" s="99" t="s">
        <v>721</v>
      </c>
      <c r="G91" s="167" t="s">
        <v>719</v>
      </c>
      <c r="H91" s="168">
        <f>H89*H79/1000</f>
        <v>0</v>
      </c>
      <c r="I91" s="99" t="s">
        <v>721</v>
      </c>
      <c r="J91" s="62"/>
      <c r="K91" s="174" t="s">
        <v>814</v>
      </c>
      <c r="L91" s="249">
        <f>0.5*L93/SQRT((B85/10000)/(B83/100))*SQRT(B79/M6/PI()/PI())</f>
        <v>0.27853185948806347</v>
      </c>
      <c r="M91" s="177">
        <f>IF(L91&lt;=1.5,(0.658^(L91*L91))*B79*B83/100,0.877/L91/L91*B79*B83/100)</f>
        <v>954.15306114341956</v>
      </c>
      <c r="N91" s="222">
        <f t="shared" si="24"/>
        <v>0.37917567793716322</v>
      </c>
      <c r="O91" s="224" t="str">
        <f t="shared" si="25"/>
        <v>OK</v>
      </c>
    </row>
    <row r="92" spans="1:21" ht="16.5" thickBot="1">
      <c r="A92" s="164" t="s">
        <v>720</v>
      </c>
      <c r="B92" s="94">
        <f>0.6*(B75-B78-B78)*B77*B79/10/10</f>
        <v>123.55199999999999</v>
      </c>
      <c r="C92" s="95" t="s">
        <v>722</v>
      </c>
      <c r="D92" s="164" t="s">
        <v>720</v>
      </c>
      <c r="E92" s="94">
        <f>0.6*(E75-E78-E78)*E77*E79/10/10</f>
        <v>111.19679999999998</v>
      </c>
      <c r="F92" s="95" t="s">
        <v>722</v>
      </c>
      <c r="G92" s="164" t="s">
        <v>720</v>
      </c>
      <c r="H92" s="94">
        <f>0.6*(H75-H78-H78)*H77*H79/10/10</f>
        <v>0</v>
      </c>
      <c r="I92" s="95" t="s">
        <v>722</v>
      </c>
      <c r="J92" s="62"/>
      <c r="K92" s="174" t="s">
        <v>838</v>
      </c>
      <c r="L92" s="249">
        <f>0.5*L93/SQRT((B85/10000)/(B83/100))*SQRT(B79/M6/PI()/PI())</f>
        <v>0.27853185948806347</v>
      </c>
      <c r="M92" s="177">
        <f>IF(L92&lt;=1.5,(0.658^(L92*L92))*B79*B83/100,0.877/L92/L92*B79*B83/100)</f>
        <v>954.15306114341956</v>
      </c>
      <c r="N92" s="222">
        <f t="shared" si="24"/>
        <v>0.60167807228223469</v>
      </c>
      <c r="O92" s="224" t="str">
        <f t="shared" si="25"/>
        <v>OK</v>
      </c>
    </row>
    <row r="93" spans="1:21" ht="16.5">
      <c r="A93" s="205" t="s">
        <v>745</v>
      </c>
      <c r="B93" s="168">
        <f>B76*0.5/B78</f>
        <v>5.4242424242424239</v>
      </c>
      <c r="C93" s="93"/>
      <c r="D93" s="204" t="s">
        <v>745</v>
      </c>
      <c r="E93" s="168">
        <f>E76*0.5/E78</f>
        <v>6.3571428571428568</v>
      </c>
      <c r="F93" s="93"/>
      <c r="G93" s="168" t="s">
        <v>745</v>
      </c>
      <c r="H93" s="168" t="e">
        <f>H76*0.5/H78</f>
        <v>#DIV/0!</v>
      </c>
      <c r="I93" s="99"/>
      <c r="J93" s="62"/>
      <c r="K93" s="251" t="s">
        <v>1050</v>
      </c>
      <c r="L93" s="250">
        <v>400</v>
      </c>
      <c r="N93" s="225" t="s">
        <v>941</v>
      </c>
    </row>
    <row r="94" spans="1:21" ht="16.5">
      <c r="A94" s="163" t="s">
        <v>746</v>
      </c>
      <c r="B94" s="174">
        <f>25/SQRT(B79)</f>
        <v>13.762047064079509</v>
      </c>
      <c r="C94" s="93"/>
      <c r="D94" s="174" t="s">
        <v>746</v>
      </c>
      <c r="E94" s="174">
        <f>25/SQRT(E79)</f>
        <v>13.762047064079509</v>
      </c>
      <c r="F94" s="93"/>
      <c r="G94" s="174" t="s">
        <v>746</v>
      </c>
      <c r="H94" s="174">
        <f>25/SQRT(H79)</f>
        <v>13.363062095621219</v>
      </c>
      <c r="I94" s="93"/>
      <c r="J94" s="62"/>
      <c r="K94" s="214"/>
      <c r="L94" s="215" t="s">
        <v>1020</v>
      </c>
    </row>
    <row r="95" spans="1:21">
      <c r="A95" s="163" t="s">
        <v>747</v>
      </c>
      <c r="B95" s="174">
        <f>16/SQRT(B79)</f>
        <v>8.807710121010885</v>
      </c>
      <c r="C95" s="93"/>
      <c r="D95" s="174" t="s">
        <v>747</v>
      </c>
      <c r="E95" s="174">
        <f>16/SQRT(E79)</f>
        <v>8.807710121010885</v>
      </c>
      <c r="F95" s="93"/>
      <c r="G95" s="174" t="s">
        <v>747</v>
      </c>
      <c r="H95" s="174">
        <f>16/SQRT(H79)</f>
        <v>8.5523597411975807</v>
      </c>
      <c r="I95" s="93"/>
      <c r="J95" s="62"/>
    </row>
    <row r="96" spans="1:21">
      <c r="A96" s="200" t="s">
        <v>748</v>
      </c>
      <c r="B96" s="174">
        <f>(B75-B78-B78)/B77</f>
        <v>15.6</v>
      </c>
      <c r="C96" s="93"/>
      <c r="D96" s="199" t="s">
        <v>748</v>
      </c>
      <c r="E96" s="174">
        <f>(E75-E78-E78)/E77</f>
        <v>17.333333333333332</v>
      </c>
      <c r="F96" s="93"/>
      <c r="G96" s="174" t="s">
        <v>748</v>
      </c>
      <c r="H96" s="174" t="e">
        <f>(H75-H78-H78)/H77</f>
        <v>#DIV/0!</v>
      </c>
      <c r="I96" s="93"/>
      <c r="J96" s="62"/>
    </row>
    <row r="97" spans="1:10">
      <c r="A97" s="163" t="s">
        <v>749</v>
      </c>
      <c r="B97" s="174">
        <f>260/SQRT(B79)</f>
        <v>143.12528946642689</v>
      </c>
      <c r="C97" s="93"/>
      <c r="D97" s="174" t="s">
        <v>749</v>
      </c>
      <c r="E97" s="174">
        <f>260/SQRT(E79)</f>
        <v>143.12528946642689</v>
      </c>
      <c r="F97" s="93"/>
      <c r="G97" s="174" t="s">
        <v>749</v>
      </c>
      <c r="H97" s="174">
        <f>260/SQRT(H79)</f>
        <v>138.9758457944607</v>
      </c>
      <c r="I97" s="93"/>
      <c r="J97" s="62"/>
    </row>
    <row r="98" spans="1:10" ht="16.5" thickBot="1">
      <c r="A98" s="164" t="s">
        <v>750</v>
      </c>
      <c r="B98" s="94">
        <f>170/SQRT(B79)</f>
        <v>93.581920035740652</v>
      </c>
      <c r="C98" s="95"/>
      <c r="D98" s="94" t="s">
        <v>750</v>
      </c>
      <c r="E98" s="94">
        <f>170/SQRT(E79)</f>
        <v>93.581920035740652</v>
      </c>
      <c r="F98" s="95"/>
      <c r="G98" s="94" t="s">
        <v>750</v>
      </c>
      <c r="H98" s="94">
        <f>170/SQRT(H79)</f>
        <v>90.868822250224298</v>
      </c>
      <c r="I98" s="95"/>
      <c r="J98" s="62"/>
    </row>
    <row r="99" spans="1:10">
      <c r="A99" s="176" t="s">
        <v>928</v>
      </c>
      <c r="B99" s="173">
        <f>14/SQRT(B79)</f>
        <v>7.7067463558845244</v>
      </c>
      <c r="D99" s="176" t="s">
        <v>928</v>
      </c>
      <c r="E99" s="173">
        <f>14/SQRT(E79)</f>
        <v>7.7067463558845244</v>
      </c>
      <c r="J99" s="62"/>
    </row>
    <row r="100" spans="1:10" ht="16.5" thickBot="1">
      <c r="A100" s="176" t="s">
        <v>929</v>
      </c>
      <c r="B100" s="173">
        <f>138/SQRT(B79)</f>
        <v>75.966499793718882</v>
      </c>
      <c r="D100" s="176" t="s">
        <v>929</v>
      </c>
      <c r="E100" s="173">
        <f>138/SQRT(E79)</f>
        <v>75.966499793718882</v>
      </c>
      <c r="J100" s="62"/>
    </row>
    <row r="101" spans="1:10">
      <c r="E101" s="302" t="s">
        <v>826</v>
      </c>
      <c r="F101" s="303"/>
      <c r="G101" s="304"/>
      <c r="J101" s="62"/>
    </row>
    <row r="102" spans="1:10">
      <c r="E102" s="156" t="s">
        <v>698</v>
      </c>
      <c r="F102" s="157">
        <v>808</v>
      </c>
      <c r="G102" s="158" t="s">
        <v>699</v>
      </c>
      <c r="J102" s="62"/>
    </row>
    <row r="103" spans="1:10">
      <c r="E103" s="156" t="s">
        <v>700</v>
      </c>
      <c r="F103" s="157">
        <v>302</v>
      </c>
      <c r="G103" s="158" t="s">
        <v>699</v>
      </c>
    </row>
    <row r="104" spans="1:10">
      <c r="E104" s="156" t="s">
        <v>701</v>
      </c>
      <c r="F104" s="157">
        <v>16</v>
      </c>
      <c r="G104" s="158" t="s">
        <v>699</v>
      </c>
    </row>
    <row r="105" spans="1:10">
      <c r="E105" s="156" t="s">
        <v>702</v>
      </c>
      <c r="F105" s="157">
        <v>30</v>
      </c>
      <c r="G105" s="158" t="s">
        <v>699</v>
      </c>
    </row>
    <row r="106" spans="1:10">
      <c r="E106" s="156" t="s">
        <v>703</v>
      </c>
      <c r="F106" s="62">
        <v>3.52</v>
      </c>
      <c r="G106" s="158" t="s">
        <v>718</v>
      </c>
    </row>
    <row r="107" spans="1:10">
      <c r="E107" s="156"/>
      <c r="F107" s="62"/>
      <c r="G107" s="158"/>
    </row>
    <row r="108" spans="1:10" ht="16.5">
      <c r="E108" s="162" t="s">
        <v>704</v>
      </c>
      <c r="F108" s="160"/>
      <c r="G108" s="161"/>
    </row>
    <row r="109" spans="1:10">
      <c r="E109" s="163" t="s">
        <v>705</v>
      </c>
      <c r="F109" s="174"/>
      <c r="G109" s="93"/>
    </row>
    <row r="110" spans="1:10" ht="18">
      <c r="E110" s="163" t="s">
        <v>707</v>
      </c>
      <c r="F110" s="174">
        <f>F103*F105*2+(F102-F105-F105)*F104</f>
        <v>30088</v>
      </c>
      <c r="G110" s="93" t="s">
        <v>708</v>
      </c>
    </row>
    <row r="111" spans="1:10" ht="18">
      <c r="E111" s="163" t="s">
        <v>709</v>
      </c>
      <c r="F111" s="174">
        <f>(F104*(F102-F105-F105)^3)/12+2*(F103*F105*F105*F105/12+F103*F105*(F102*0.5-0.5*F105)^2)</f>
        <v>3301307509.3333335</v>
      </c>
      <c r="G111" s="93" t="s">
        <v>710</v>
      </c>
    </row>
    <row r="112" spans="1:10" ht="18">
      <c r="E112" s="163" t="s">
        <v>711</v>
      </c>
      <c r="F112" s="174">
        <f>(F102-F105-F105)*F104*F104*F104/12+F105*F103*F103*F103*2/12</f>
        <v>137973357.33333334</v>
      </c>
      <c r="G112" s="93" t="s">
        <v>710</v>
      </c>
    </row>
    <row r="113" spans="5:7" ht="18">
      <c r="E113" s="163" t="s">
        <v>712</v>
      </c>
      <c r="F113" s="174">
        <f>(F102-F105-F105)*F104*F104*F104/3+F103*F105*F105*F105/3*2</f>
        <v>6457269.333333333</v>
      </c>
      <c r="G113" s="93" t="s">
        <v>710</v>
      </c>
    </row>
    <row r="114" spans="5:7" ht="18">
      <c r="E114" s="163" t="s">
        <v>713</v>
      </c>
      <c r="F114" s="174">
        <f>F111/(F102/2)</f>
        <v>8171553.2409240929</v>
      </c>
      <c r="G114" s="93" t="s">
        <v>714</v>
      </c>
    </row>
    <row r="115" spans="5:7" ht="18">
      <c r="E115" s="163" t="s">
        <v>715</v>
      </c>
      <c r="F115" s="174">
        <f>F112/(F103/2)</f>
        <v>913730.8432671082</v>
      </c>
      <c r="G115" s="93" t="s">
        <v>714</v>
      </c>
    </row>
    <row r="116" spans="5:7" ht="18">
      <c r="E116" s="163" t="s">
        <v>716</v>
      </c>
      <c r="F116" s="174">
        <f>F103*F102*F102*0.25-(F103-F104)*(F102-2*F105)^2*0.25</f>
        <v>9286696</v>
      </c>
      <c r="G116" s="93" t="s">
        <v>714</v>
      </c>
    </row>
    <row r="117" spans="5:7" ht="18.75" thickBot="1">
      <c r="E117" s="165" t="s">
        <v>717</v>
      </c>
      <c r="F117" s="146">
        <f>F105*F103*F103*0.25*2+(F102-2*F105)*F104*F104*0.25</f>
        <v>1415932</v>
      </c>
      <c r="G117" s="166" t="s">
        <v>714</v>
      </c>
    </row>
    <row r="118" spans="5:7">
      <c r="E118" s="167" t="s">
        <v>719</v>
      </c>
      <c r="F118" s="168">
        <f>F116*F106/1000</f>
        <v>32689.16992</v>
      </c>
      <c r="G118" s="99" t="s">
        <v>721</v>
      </c>
    </row>
    <row r="119" spans="5:7" ht="16.5" thickBot="1">
      <c r="E119" s="164" t="s">
        <v>720</v>
      </c>
      <c r="F119" s="94">
        <f>0.6*(F102-F105-F105)*F104*F106/10/10</f>
        <v>252.76416</v>
      </c>
      <c r="G119" s="95" t="s">
        <v>722</v>
      </c>
    </row>
    <row r="120" spans="5:7">
      <c r="E120" s="168" t="s">
        <v>745</v>
      </c>
      <c r="F120" s="168">
        <f>F103*0.5/F105</f>
        <v>5.0333333333333332</v>
      </c>
      <c r="G120" s="99"/>
    </row>
    <row r="121" spans="5:7">
      <c r="E121" s="174" t="s">
        <v>746</v>
      </c>
      <c r="F121" s="174">
        <f>25/SQRT(F106)</f>
        <v>13.325044772225652</v>
      </c>
      <c r="G121" s="93"/>
    </row>
    <row r="122" spans="5:7">
      <c r="E122" s="174" t="s">
        <v>747</v>
      </c>
      <c r="F122" s="174">
        <f>16/SQRT(F106)</f>
        <v>8.5280286542244177</v>
      </c>
      <c r="G122" s="93"/>
    </row>
    <row r="123" spans="5:7">
      <c r="E123" s="174" t="s">
        <v>748</v>
      </c>
      <c r="F123" s="174">
        <f>(F102-F105-F105)/F104</f>
        <v>46.75</v>
      </c>
      <c r="G123" s="93"/>
    </row>
    <row r="124" spans="5:7">
      <c r="E124" s="174" t="s">
        <v>749</v>
      </c>
      <c r="F124" s="174">
        <f>260/SQRT(F106)</f>
        <v>138.58046563114678</v>
      </c>
      <c r="G124" s="93"/>
    </row>
    <row r="125" spans="5:7" ht="16.5" thickBot="1">
      <c r="E125" s="94" t="s">
        <v>750</v>
      </c>
      <c r="F125" s="94">
        <f>170/SQRT(F106)</f>
        <v>90.610304451134425</v>
      </c>
      <c r="G125" s="95"/>
    </row>
  </sheetData>
  <mergeCells count="20">
    <mergeCell ref="O76:U76"/>
    <mergeCell ref="E101:G101"/>
    <mergeCell ref="C11:E11"/>
    <mergeCell ref="A44:C44"/>
    <mergeCell ref="D44:F44"/>
    <mergeCell ref="A74:C74"/>
    <mergeCell ref="D74:F74"/>
    <mergeCell ref="A33:B33"/>
    <mergeCell ref="P45:V45"/>
    <mergeCell ref="M63:N64"/>
    <mergeCell ref="K63:L64"/>
    <mergeCell ref="K65:L66"/>
    <mergeCell ref="K67:L67"/>
    <mergeCell ref="Q9:S9"/>
    <mergeCell ref="G44:I44"/>
    <mergeCell ref="G74:I74"/>
    <mergeCell ref="C34:C36"/>
    <mergeCell ref="C37:C39"/>
    <mergeCell ref="K68:L68"/>
    <mergeCell ref="M65:N65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  <vt:lpstr>工作表3</vt:lpstr>
      <vt:lpstr>工作表4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PC18052</cp:lastModifiedBy>
  <cp:lastPrinted>2009-05-21T12:49:04Z</cp:lastPrinted>
  <dcterms:created xsi:type="dcterms:W3CDTF">2009-05-14T11:59:56Z</dcterms:created>
  <dcterms:modified xsi:type="dcterms:W3CDTF">2018-06-01T08:30:17Z</dcterms:modified>
</cp:coreProperties>
</file>