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leu-pc\Desktop\鋼構耐震設計\project2\"/>
    </mc:Choice>
  </mc:AlternateContent>
  <bookViews>
    <workbookView xWindow="240" yWindow="30" windowWidth="15015" windowHeight="7965" firstSheet="5" activeTab="7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</sheets>
  <definedNames>
    <definedName name="縣市">#REF!</definedName>
  </definedNames>
  <calcPr calcId="152511"/>
</workbook>
</file>

<file path=xl/calcChain.xml><?xml version="1.0" encoding="utf-8"?>
<calcChain xmlns="http://schemas.openxmlformats.org/spreadsheetml/2006/main">
  <c r="M14" i="12" l="1"/>
  <c r="M15" i="12"/>
  <c r="M16" i="12"/>
  <c r="M13" i="12"/>
  <c r="L14" i="12"/>
  <c r="L15" i="12"/>
  <c r="L16" i="12"/>
  <c r="L13" i="12"/>
  <c r="O64" i="10"/>
  <c r="S14" i="10" l="1"/>
  <c r="S13" i="10"/>
  <c r="P47" i="11"/>
  <c r="P46" i="11"/>
  <c r="O51" i="11"/>
  <c r="O50" i="11"/>
  <c r="O49" i="11"/>
  <c r="O48" i="11"/>
  <c r="O47" i="11"/>
  <c r="O46" i="11"/>
  <c r="F23" i="11"/>
  <c r="D23" i="11"/>
  <c r="D24" i="11"/>
  <c r="D28" i="11"/>
  <c r="D27" i="11"/>
  <c r="D26" i="11"/>
  <c r="D25" i="11"/>
  <c r="I12" i="11"/>
  <c r="I13" i="11"/>
  <c r="I14" i="11"/>
  <c r="H12" i="11"/>
  <c r="H13" i="11"/>
  <c r="I15" i="11"/>
  <c r="I16" i="11"/>
  <c r="I17" i="11"/>
  <c r="F28" i="11"/>
  <c r="F27" i="11"/>
  <c r="F26" i="11"/>
  <c r="F25" i="11"/>
  <c r="E28" i="11"/>
  <c r="E27" i="11"/>
  <c r="E26" i="11"/>
  <c r="E25" i="11"/>
  <c r="E24" i="11"/>
  <c r="E23" i="11"/>
  <c r="P59" i="10" l="1"/>
  <c r="P58" i="10"/>
  <c r="O90" i="10"/>
  <c r="O89" i="10"/>
  <c r="V14" i="10"/>
  <c r="V13" i="10"/>
  <c r="U14" i="10"/>
  <c r="U13" i="10"/>
  <c r="G7" i="10"/>
  <c r="G6" i="10"/>
  <c r="G5" i="10"/>
  <c r="G4" i="10"/>
  <c r="G3" i="10"/>
  <c r="G2" i="10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G5" i="11"/>
  <c r="G6" i="11"/>
  <c r="G7" i="11"/>
  <c r="G2" i="11"/>
  <c r="M6" i="11" l="1"/>
  <c r="L59" i="11" l="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C4" i="1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5" i="11" l="1"/>
  <c r="D4" i="11"/>
  <c r="E4" i="11" s="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13" i="11"/>
  <c r="B24" i="11" s="1"/>
  <c r="B14" i="1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E5" i="11" s="1"/>
  <c r="H14" i="1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E7" i="11" s="1"/>
  <c r="D6" i="11"/>
  <c r="E6" i="11" s="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P90" i="10" l="1"/>
  <c r="Q79" i="10"/>
  <c r="P89" i="10"/>
  <c r="Q90" i="10"/>
  <c r="Q89" i="10"/>
  <c r="Q84" i="10"/>
  <c r="P84" i="10"/>
  <c r="P83" i="10"/>
  <c r="Q82" i="10"/>
  <c r="Q80" i="10"/>
  <c r="O59" i="10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R89" i="10"/>
  <c r="O58" i="10"/>
  <c r="Q13" i="10"/>
  <c r="Q14" i="10" s="1"/>
  <c r="O50" i="10"/>
  <c r="O49" i="10"/>
  <c r="R90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4" i="10" s="1"/>
  <c r="A123" i="9"/>
  <c r="A5" i="10" s="1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O92" i="10" l="1"/>
  <c r="O91" i="10"/>
  <c r="P91" i="10" s="1"/>
  <c r="O93" i="10"/>
  <c r="P93" i="10" s="1"/>
  <c r="R93" i="10" s="1"/>
  <c r="O94" i="10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P94" i="10"/>
  <c r="P92" i="10"/>
  <c r="O82" i="10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P82" i="10"/>
  <c r="H25" i="11"/>
  <c r="G25" i="11"/>
  <c r="L48" i="11" s="1"/>
  <c r="L79" i="11" s="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A7" i="10"/>
  <c r="N18" i="10" s="1"/>
  <c r="N13" i="10"/>
  <c r="N16" i="10"/>
  <c r="N15" i="10"/>
  <c r="A129" i="9"/>
  <c r="A128" i="9"/>
  <c r="B26" i="11"/>
  <c r="G26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P26" i="10" l="1"/>
  <c r="S53" i="10"/>
  <c r="R59" i="10"/>
  <c r="R82" i="10"/>
  <c r="R81" i="10"/>
  <c r="R79" i="10"/>
  <c r="S89" i="10" s="1"/>
  <c r="T89" i="10" s="1"/>
  <c r="R80" i="10"/>
  <c r="S90" i="10" s="1"/>
  <c r="T90" i="10" s="1"/>
  <c r="S54" i="10"/>
  <c r="R27" i="10" s="1"/>
  <c r="R36" i="10" s="1"/>
  <c r="P51" i="10"/>
  <c r="S51" i="10" s="1"/>
  <c r="R51" i="10"/>
  <c r="H26" i="11"/>
  <c r="M49" i="11" s="1"/>
  <c r="R91" i="10"/>
  <c r="R92" i="10"/>
  <c r="K25" i="11"/>
  <c r="H15" i="1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S59" i="10" s="1"/>
  <c r="Q18" i="10"/>
  <c r="Q16" i="10"/>
  <c r="F53" i="9"/>
  <c r="B77" i="9"/>
  <c r="C77" i="9" s="1"/>
  <c r="D77" i="9" s="1"/>
  <c r="D46" i="9"/>
  <c r="J26" i="11"/>
  <c r="B27" i="11"/>
  <c r="G27" i="11" s="1"/>
  <c r="K27" i="11" s="1"/>
  <c r="G28" i="11"/>
  <c r="H28" i="11"/>
  <c r="M51" i="11" s="1"/>
  <c r="M48" i="11"/>
  <c r="N12" i="10"/>
  <c r="A1" i="11"/>
  <c r="R94" i="10"/>
  <c r="Z54" i="10"/>
  <c r="R54" i="10"/>
  <c r="R53" i="10"/>
  <c r="R52" i="10"/>
  <c r="B61" i="9"/>
  <c r="B75" i="9"/>
  <c r="R62" i="10" l="1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M82" i="11"/>
  <c r="K28" i="11"/>
  <c r="L51" i="11"/>
  <c r="L82" i="11" s="1"/>
  <c r="L50" i="11"/>
  <c r="H27" i="11"/>
  <c r="M50" i="11" s="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R24" i="10" l="1"/>
  <c r="R33" i="10" s="1"/>
  <c r="R60" i="10"/>
  <c r="S60" i="10" s="1"/>
  <c r="N49" i="11"/>
  <c r="O59" i="11" s="1"/>
  <c r="O58" i="11" s="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2" i="9"/>
  <c r="D64" i="9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H15" i="6" s="1"/>
  <c r="I14" i="6" s="1"/>
  <c r="G15" i="8"/>
  <c r="B29" i="4"/>
  <c r="H5" i="6" s="1"/>
  <c r="E29" i="4" s="1"/>
  <c r="E14" i="8"/>
  <c r="I7" i="6"/>
  <c r="N81" i="11" l="1"/>
  <c r="N82" i="11" s="1"/>
  <c r="N92" i="11" s="1"/>
  <c r="O92" i="11" s="1"/>
  <c r="R25" i="10"/>
  <c r="R34" i="10" s="1"/>
  <c r="S34" i="10" s="1"/>
  <c r="S61" i="10"/>
  <c r="E74" i="9"/>
  <c r="D65" i="9"/>
  <c r="F64" i="9" s="1"/>
  <c r="D61" i="9" s="1"/>
  <c r="B121" i="9" s="1"/>
  <c r="C121" i="9" s="1"/>
  <c r="D121" i="9" s="1"/>
  <c r="G121" i="9" s="1"/>
  <c r="O90" i="11"/>
  <c r="S33" i="10"/>
  <c r="S35" i="10"/>
  <c r="N91" i="11"/>
  <c r="O91" i="11" s="1"/>
  <c r="D52" i="9"/>
  <c r="D55" i="9"/>
  <c r="D56" i="9"/>
  <c r="D53" i="9"/>
  <c r="B122" i="9"/>
  <c r="P58" i="11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O60" i="11" l="1"/>
  <c r="O61" i="11" s="1"/>
  <c r="P61" i="11" s="1"/>
  <c r="P59" i="11"/>
  <c r="D51" i="9"/>
  <c r="F54" i="9" s="1"/>
  <c r="C2" i="10"/>
  <c r="C3" i="10" s="1"/>
  <c r="C122" i="9"/>
  <c r="D122" i="9" s="1"/>
  <c r="G122" i="9" s="1"/>
  <c r="B123" i="9"/>
  <c r="C123" i="9" s="1"/>
  <c r="D123" i="9" s="1"/>
  <c r="G123" i="9" s="1"/>
  <c r="F76" i="9"/>
  <c r="I76" i="9" s="1"/>
  <c r="H76" i="9"/>
  <c r="H31" i="4"/>
  <c r="B38" i="4" s="1"/>
  <c r="D28" i="8"/>
  <c r="G27" i="8"/>
  <c r="H32" i="4"/>
  <c r="D29" i="8"/>
  <c r="P60" i="11" l="1"/>
  <c r="C4" i="10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B12" i="11" l="1"/>
  <c r="C5" i="10"/>
  <c r="D4" i="10"/>
  <c r="E4" i="10" s="1"/>
  <c r="O15" i="10" s="1"/>
  <c r="D40" i="4"/>
  <c r="D37" i="4" s="1"/>
  <c r="E37" i="4" s="1"/>
  <c r="B37" i="4"/>
  <c r="B42" i="4" s="1"/>
  <c r="O14" i="10"/>
  <c r="P14" i="10" s="1"/>
  <c r="R14" i="10" s="1"/>
  <c r="D39" i="4"/>
  <c r="B33" i="8"/>
  <c r="B32" i="8"/>
  <c r="D41" i="4" l="1"/>
  <c r="D42" i="4"/>
  <c r="D43" i="4"/>
  <c r="D45" i="4"/>
  <c r="B13" i="11"/>
  <c r="C6" i="10"/>
  <c r="D5" i="10"/>
  <c r="E5" i="10" s="1"/>
  <c r="O16" i="10" s="1"/>
  <c r="C37" i="4"/>
  <c r="C31" i="8" s="1"/>
  <c r="B31" i="8"/>
  <c r="B43" i="4"/>
  <c r="I54" i="8" s="1"/>
  <c r="B41" i="4"/>
  <c r="B44" i="4" s="1"/>
  <c r="B47" i="4" s="1"/>
  <c r="B45" i="4"/>
  <c r="I76" i="8" s="1"/>
  <c r="D46" i="4"/>
  <c r="D49" i="4" s="1"/>
  <c r="D44" i="4"/>
  <c r="D47" i="4" s="1"/>
  <c r="B36" i="8"/>
  <c r="P16" i="10" l="1"/>
  <c r="R16" i="10" s="1"/>
  <c r="P15" i="10"/>
  <c r="R15" i="10" s="1"/>
  <c r="B35" i="8"/>
  <c r="B46" i="4"/>
  <c r="B49" i="4" s="1"/>
  <c r="H82" i="8" s="1"/>
  <c r="C85" i="8" s="1"/>
  <c r="B16" i="11"/>
  <c r="D6" i="10"/>
  <c r="E6" i="10" s="1"/>
  <c r="O17" i="10" s="1"/>
  <c r="P17" i="10" s="1"/>
  <c r="R17" i="10" s="1"/>
  <c r="C7" i="10"/>
  <c r="D7" i="10" s="1"/>
  <c r="E7" i="10" s="1"/>
  <c r="O18" i="10" s="1"/>
  <c r="P18" i="10" s="1"/>
  <c r="R18" i="10" s="1"/>
  <c r="B48" i="4"/>
  <c r="H71" i="8" s="1"/>
  <c r="D48" i="4"/>
  <c r="D50" i="4" s="1"/>
  <c r="H66" i="8"/>
  <c r="I60" i="8"/>
  <c r="I77" i="8" l="1"/>
  <c r="B50" i="4"/>
  <c r="H16" i="11"/>
  <c r="B17" i="11" l="1"/>
  <c r="H17" i="11" l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<sst xmlns="http://schemas.openxmlformats.org/spreadsheetml/2006/main" count="3675" uniqueCount="1053">
  <si>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</si>
  <si>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</si>
  <si>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</si>
  <si>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</si>
  <si>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</si>
  <si>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</si>
  <si>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</si>
  <si>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</si>
  <si>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</si>
  <si>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</si>
  <si>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</si>
  <si>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</si>
  <si>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</si>
  <si>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</si>
  <si>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</si>
  <si>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</si>
  <si>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</si>
  <si>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</si>
  <si>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</si>
  <si>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</si>
  <si>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</si>
  <si>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</si>
  <si>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</si>
  <si>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</si>
  <si>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</si>
  <si>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</si>
  <si>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</si>
  <si>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</si>
  <si>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</si>
  <si>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</si>
  <si>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</si>
  <si>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</si>
  <si>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</si>
  <si>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</si>
  <si>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</si>
  <si>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</si>
  <si>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</si>
  <si>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</si>
  <si>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</si>
  <si>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</si>
  <si>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</si>
  <si>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</si>
  <si>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</si>
  <si>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</si>
  <si>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</si>
  <si>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</si>
  <si>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</si>
  <si>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</si>
  <si>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</si>
  <si>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</si>
  <si>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</si>
  <si>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</si>
  <si>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</si>
  <si>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</si>
  <si>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</si>
  <si>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</si>
  <si>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</si>
  <si>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</si>
  <si>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</si>
  <si>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</si>
  <si>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</si>
  <si>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</si>
  <si>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</si>
  <si>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</si>
  <si>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</si>
  <si>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</si>
  <si>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</si>
  <si>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</si>
  <si>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</si>
  <si>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</si>
  <si>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</si>
  <si>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</si>
  <si>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</si>
  <si>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</si>
  <si>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</si>
  <si>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</si>
  <si>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</si>
  <si>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</si>
  <si>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</si>
  <si>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</si>
  <si>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</si>
  <si>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</si>
  <si>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</si>
  <si>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</si>
  <si>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</si>
  <si>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</si>
  <si>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</si>
  <si>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</si>
  <si>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</si>
  <si>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</si>
  <si>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</si>
  <si>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</si>
  <si>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</si>
  <si>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</si>
  <si>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</si>
  <si>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</si>
  <si>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</si>
  <si>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</si>
  <si>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</si>
  <si>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</si>
  <si>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</si>
  <si>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</si>
  <si>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</si>
  <si>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</si>
  <si>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</si>
  <si>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</si>
  <si>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</si>
  <si>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</si>
  <si>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</si>
  <si>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</si>
  <si>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</si>
  <si>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</si>
  <si>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</si>
  <si>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</si>
  <si>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</si>
  <si>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</si>
  <si>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</si>
  <si>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</si>
  <si>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</si>
  <si>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</si>
  <si>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</si>
  <si>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</si>
  <si>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</si>
  <si>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</si>
  <si>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</si>
  <si>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</si>
  <si>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</si>
  <si>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</si>
  <si>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</si>
  <si>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</si>
  <si>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</si>
  <si>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</si>
  <si>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</si>
  <si>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</si>
  <si>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</si>
  <si>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</si>
  <si>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</si>
  <si>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</si>
  <si>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</si>
  <si>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</si>
  <si>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</si>
  <si>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</si>
  <si>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</si>
  <si>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</si>
  <si>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</si>
  <si>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</si>
  <si>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</si>
  <si>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</si>
  <si>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</si>
  <si>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</si>
  <si>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</si>
  <si>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</si>
  <si>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</si>
  <si>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</si>
  <si>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</si>
  <si>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</si>
  <si>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</si>
  <si>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</si>
  <si>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</si>
  <si>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</si>
  <si>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</si>
  <si>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</si>
  <si>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</si>
  <si>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</si>
  <si>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</si>
  <si>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</si>
  <si>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</si>
  <si>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</si>
  <si>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</si>
  <si>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</si>
  <si>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</si>
  <si>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</si>
  <si>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</si>
  <si>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</si>
  <si>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</si>
  <si>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</si>
  <si>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</si>
  <si>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</si>
  <si>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</si>
  <si>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</si>
  <si>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</si>
  <si>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</si>
  <si>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</si>
  <si>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</si>
  <si>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</si>
  <si>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</si>
  <si>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</si>
  <si>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</si>
  <si>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</si>
  <si>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</si>
  <si>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</si>
  <si>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</si>
  <si>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</si>
  <si>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</si>
  <si>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</si>
  <si>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</si>
  <si>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</si>
  <si>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</si>
  <si>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</si>
  <si>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</si>
  <si>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</si>
  <si>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</si>
  <si>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</si>
  <si>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</si>
  <si>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</si>
  <si>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</si>
  <si>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</si>
  <si>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</si>
  <si>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</si>
  <si>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</si>
  <si>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</si>
  <si>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</si>
  <si>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</si>
  <si>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</si>
  <si>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</si>
  <si>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</si>
  <si>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</si>
  <si>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</si>
  <si>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</si>
  <si>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</si>
  <si>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</si>
  <si>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</si>
  <si>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</si>
  <si>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</si>
  <si>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</si>
  <si>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</si>
  <si>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</si>
  <si>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</si>
  <si>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</si>
  <si>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</si>
  <si>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</si>
  <si>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</si>
  <si>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</si>
  <si>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</si>
  <si>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</si>
  <si>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</si>
  <si>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</si>
  <si>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</si>
  <si>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</si>
  <si>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</si>
  <si>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</si>
  <si>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</si>
  <si>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</si>
  <si>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</si>
  <si>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</si>
  <si>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</si>
  <si>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</si>
  <si>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</si>
  <si>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</si>
  <si>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</si>
  <si>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</si>
  <si>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</si>
  <si>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</si>
  <si>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</si>
  <si>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</si>
  <si>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</si>
  <si>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</si>
  <si>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</si>
  <si>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</si>
  <si>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</si>
  <si>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</si>
  <si>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</si>
  <si>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</si>
  <si>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</si>
  <si>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</si>
  <si>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</si>
  <si>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</si>
  <si>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</si>
  <si>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</si>
  <si>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</si>
  <si>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</si>
  <si>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</si>
  <si>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</si>
  <si>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</si>
  <si>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</si>
  <si>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</si>
  <si>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</si>
  <si>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</si>
  <si>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</si>
  <si>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</si>
  <si>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</si>
  <si>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</si>
  <si>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</si>
  <si>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</si>
  <si>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</si>
  <si>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</si>
  <si>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</si>
  <si>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</si>
  <si>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</si>
  <si>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</si>
  <si>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</si>
  <si>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</si>
  <si>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</si>
  <si>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</si>
  <si>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</si>
  <si>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</si>
  <si>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</si>
  <si>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</si>
  <si>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</si>
  <si>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</si>
  <si>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</si>
  <si>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</si>
  <si>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</si>
  <si>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</si>
  <si>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</si>
  <si>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</si>
  <si>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</si>
  <si>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</si>
  <si>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</si>
  <si>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</si>
  <si>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</si>
  <si>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</si>
  <si>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</si>
  <si>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</si>
  <si>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</si>
  <si>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</si>
  <si>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</si>
  <si>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</si>
  <si>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</si>
  <si>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</si>
  <si>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</si>
  <si>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</si>
  <si>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</si>
  <si>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</si>
  <si>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</si>
  <si>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</si>
  <si>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</si>
  <si>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</si>
  <si>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</si>
  <si>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</si>
  <si>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</si>
  <si>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</si>
  <si>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</si>
  <si>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</si>
  <si>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</si>
  <si>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</si>
  <si>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</si>
  <si>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</si>
  <si>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</si>
  <si>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</si>
  <si>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</si>
  <si>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</si>
  <si>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</si>
  <si>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</si>
  <si>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</si>
  <si>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</si>
  <si>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</si>
  <si>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</si>
  <si>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</si>
  <si>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</si>
  <si>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</si>
  <si>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</si>
  <si>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</si>
  <si>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</si>
  <si>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</si>
  <si>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</si>
  <si>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</si>
  <si>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</si>
  <si>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</si>
  <si>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</si>
  <si>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</si>
  <si>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</si>
  <si>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</si>
  <si>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</si>
  <si>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</si>
  <si>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</si>
  <si>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</si>
  <si>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</si>
  <si>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</si>
  <si>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</si>
  <si>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</si>
  <si>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</si>
  <si>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</si>
  <si>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</si>
  <si>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</si>
  <si>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</si>
  <si>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</si>
  <si>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</si>
  <si>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</si>
  <si>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</si>
  <si>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</si>
  <si>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</si>
  <si>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</si>
  <si>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</si>
  <si>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</si>
  <si>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</si>
  <si>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</si>
  <si>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</si>
  <si>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</si>
  <si>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</si>
  <si>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</si>
  <si>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</si>
  <si>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</si>
  <si>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</si>
  <si>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</si>
  <si>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</si>
  <si>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</si>
  <si>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</si>
  <si>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</si>
  <si>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</si>
  <si>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</si>
  <si>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</si>
  <si>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</si>
  <si>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</si>
  <si>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</si>
  <si>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</si>
  <si>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</si>
  <si>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</si>
  <si>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</si>
  <si>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</si>
  <si>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</si>
  <si>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</si>
  <si>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</si>
  <si>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</si>
  <si>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</si>
  <si>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</si>
  <si>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</si>
  <si>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</si>
  <si>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</si>
  <si>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</si>
  <si>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</si>
  <si>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</si>
  <si>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</si>
  <si>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</si>
  <si>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</si>
  <si>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</si>
  <si>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</si>
  <si>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</si>
  <si>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</si>
  <si>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</si>
  <si>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</si>
  <si>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</si>
  <si>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</si>
  <si>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</si>
  <si>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</si>
  <si>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</si>
  <si>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</si>
  <si>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</si>
  <si>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</si>
  <si>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</si>
  <si>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</si>
  <si>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</si>
  <si>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</si>
  <si>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</si>
  <si>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</si>
  <si>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</si>
  <si>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</si>
  <si>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</si>
  <si>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</si>
  <si>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</si>
  <si>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</si>
  <si>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</si>
  <si>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</si>
  <si>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</si>
  <si>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</si>
  <si>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</si>
  <si>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</si>
  <si>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</si>
  <si>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</si>
  <si>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</si>
  <si>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</si>
  <si>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</si>
  <si>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</si>
  <si>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</si>
  <si>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</si>
  <si>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</si>
  <si>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</si>
  <si>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</si>
  <si>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</si>
  <si>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</si>
  <si>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</si>
  <si>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</si>
  <si>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</si>
  <si>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</si>
  <si>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</si>
  <si>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</si>
  <si>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</si>
  <si>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</si>
  <si>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</si>
  <si>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</si>
  <si>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</si>
  <si>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</si>
  <si>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</si>
  <si>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</si>
  <si>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</si>
  <si>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</si>
  <si>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</si>
  <si>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</si>
  <si>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</si>
  <si>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</si>
  <si>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</si>
  <si>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</si>
  <si>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</si>
  <si>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</si>
  <si>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</si>
  <si>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</si>
  <si>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</si>
  <si>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</si>
  <si>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</si>
  <si>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</si>
  <si>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</si>
  <si>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</si>
  <si>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</si>
  <si>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</si>
  <si>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</si>
  <si>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</si>
  <si>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</si>
  <si>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</si>
  <si>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</si>
  <si>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</si>
  <si>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</si>
  <si>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</si>
  <si>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</si>
  <si>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</si>
  <si>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</si>
  <si>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</si>
  <si>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</si>
  <si>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</si>
  <si>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</si>
  <si>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</si>
  <si>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</si>
  <si>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</si>
  <si>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</si>
  <si>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</si>
  <si>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</si>
  <si>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</si>
  <si>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</si>
  <si>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</si>
  <si>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</si>
  <si>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</si>
  <si>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</si>
  <si>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</si>
  <si>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</si>
  <si>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</si>
  <si>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</si>
  <si>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</si>
  <si>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</si>
  <si>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</si>
  <si>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</si>
  <si>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</si>
  <si>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</si>
  <si>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</si>
  <si>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</si>
  <si>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</si>
  <si>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</si>
  <si>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</si>
  <si>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</si>
  <si>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</si>
  <si>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</si>
  <si>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</si>
  <si>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</si>
  <si>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</si>
  <si>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</si>
  <si>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</si>
  <si>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</si>
  <si>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</si>
  <si>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</si>
  <si>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</si>
  <si>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</si>
  <si>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</si>
  <si>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</si>
  <si>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</si>
  <si>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</si>
  <si>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</si>
  <si>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</si>
  <si>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</si>
  <si>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</si>
  <si>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</si>
  <si>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</si>
  <si>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</si>
  <si>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</si>
  <si>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</si>
  <si>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</si>
  <si>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</si>
  <si>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</si>
  <si>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</si>
  <si>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</si>
  <si>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</si>
  <si>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</si>
  <si>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</si>
  <si>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</si>
  <si>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</si>
  <si>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</si>
  <si>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</si>
  <si>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</si>
  <si>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</si>
  <si>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</si>
  <si>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</si>
  <si>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</si>
  <si>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</si>
  <si>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</si>
  <si>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</si>
  <si>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</si>
  <si>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</si>
  <si>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</si>
  <si>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</si>
  <si>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</si>
  <si>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</si>
  <si>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</si>
  <si>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</si>
  <si>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</si>
  <si>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</si>
  <si>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</si>
  <si>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</si>
  <si>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</si>
  <si>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</si>
  <si>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</si>
  <si>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</si>
  <si>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</si>
  <si>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</si>
  <si>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</si>
  <si>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</si>
  <si>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</si>
  <si>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</si>
  <si>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</si>
  <si>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</si>
  <si>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</si>
  <si>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</si>
  <si>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</si>
  <si>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</si>
  <si>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</si>
  <si>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</si>
  <si>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</si>
  <si>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</si>
  <si>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</si>
  <si>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</si>
  <si>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</si>
  <si>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</si>
  <si>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</si>
  <si>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</si>
  <si>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</si>
  <si>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</si>
  <si>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</si>
  <si>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</si>
  <si>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</si>
  <si>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</si>
  <si>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</si>
  <si>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</si>
  <si>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</si>
  <si>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</si>
  <si>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</si>
  <si>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</si>
  <si>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</si>
  <si>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</si>
  <si>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</si>
  <si>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</si>
  <si>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</si>
  <si>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</si>
  <si>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</si>
  <si>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</si>
  <si>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</si>
  <si>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</si>
  <si>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</si>
  <si>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</si>
  <si>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</si>
  <si>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</si>
  <si>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</si>
  <si>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</si>
  <si>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</si>
  <si>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</si>
  <si>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</si>
  <si>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</si>
  <si>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</si>
  <si>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</si>
  <si>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</si>
  <si>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</si>
  <si>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</si>
  <si>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</si>
  <si>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</si>
  <si>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</si>
  <si>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</si>
  <si>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</si>
  <si>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</si>
  <si>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</si>
  <si>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</si>
  <si>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</si>
  <si>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</si>
  <si>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</si>
  <si>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</si>
  <si>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</si>
  <si>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</si>
  <si>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</si>
  <si>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</si>
  <si>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</si>
  <si>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</si>
  <si>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</si>
  <si>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</si>
  <si>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</si>
  <si>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</si>
  <si>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</si>
  <si>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</si>
  <si>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</si>
  <si>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</si>
  <si>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</si>
  <si>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</si>
  <si>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</si>
  <si>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</si>
  <si>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</si>
  <si>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</si>
  <si>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</si>
  <si>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</si>
  <si>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</si>
  <si>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</si>
  <si>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</si>
  <si>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</si>
  <si>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</si>
  <si>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</si>
  <si>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</si>
  <si>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</si>
  <si>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</si>
  <si>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</si>
  <si>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</si>
  <si>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</si>
  <si>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</si>
  <si>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</si>
  <si>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</si>
  <si>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</si>
  <si>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</si>
  <si>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</si>
  <si>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</si>
  <si>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</si>
  <si>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</si>
  <si>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</si>
  <si>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</si>
  <si>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</si>
  <si>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</si>
  <si>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</si>
  <si>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</si>
  <si>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</si>
  <si>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</si>
  <si>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</si>
  <si>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</si>
  <si>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</si>
  <si>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</si>
  <si>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</si>
  <si>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</si>
  <si>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</si>
  <si>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</si>
  <si>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</si>
  <si>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</si>
  <si>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</si>
  <si>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</si>
  <si>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</si>
  <si>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</si>
  <si>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</si>
  <si>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</si>
  <si>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</si>
  <si>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</si>
  <si>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</si>
  <si>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</si>
  <si>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</si>
  <si>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</si>
  <si>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</si>
  <si>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</si>
  <si>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</si>
  <si>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</si>
  <si>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</si>
  <si>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</si>
  <si>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</si>
  <si>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</si>
  <si>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</si>
  <si>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</si>
  <si>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</si>
  <si>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</si>
  <si>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</si>
  <si>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</si>
  <si>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</si>
  <si>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</si>
  <si>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</si>
  <si>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</si>
  <si>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</si>
  <si>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</si>
  <si>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</si>
  <si>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</si>
  <si>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</si>
  <si>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</si>
  <si>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</si>
  <si>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</si>
  <si>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</si>
  <si>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</si>
  <si>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</si>
  <si>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</si>
  <si>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</si>
  <si>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</si>
  <si>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</si>
  <si>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</si>
  <si>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</si>
  <si>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</si>
  <si>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</si>
  <si>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</si>
  <si>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</si>
  <si>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</si>
  <si>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</si>
  <si>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</si>
  <si>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</si>
  <si>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</si>
  <si>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</si>
  <si>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</si>
  <si>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</si>
  <si>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</si>
  <si>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</si>
  <si>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</si>
  <si>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</si>
  <si>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</si>
  <si>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</si>
  <si>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</si>
  <si>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</si>
  <si>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</si>
  <si>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</si>
  <si>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</si>
  <si>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</si>
  <si>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</si>
  <si>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</si>
  <si>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</si>
  <si>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</si>
  <si>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</si>
  <si>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</si>
  <si>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</si>
  <si>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</si>
  <si>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</si>
  <si>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</si>
  <si>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</si>
  <si>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</si>
  <si>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</si>
  <si>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</si>
  <si>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</si>
  <si>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</si>
  <si>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</si>
  <si>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</si>
  <si>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</si>
  <si>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</si>
  <si>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</si>
  <si>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</si>
  <si>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</si>
  <si>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</si>
  <si>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</si>
  <si>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</si>
  <si>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</si>
  <si>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</si>
  <si>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</si>
  <si>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</si>
  <si>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</si>
  <si>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</si>
  <si>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</si>
  <si>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</si>
  <si>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</si>
  <si>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</si>
  <si>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</si>
  <si>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</si>
  <si>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</si>
  <si>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</si>
  <si>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</si>
  <si>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</si>
  <si>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</si>
  <si>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</si>
  <si>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</si>
  <si>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</si>
  <si>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</si>
  <si>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</si>
  <si>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</si>
  <si>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</si>
  <si>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</si>
  <si>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</si>
  <si>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</si>
  <si>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</si>
  <si>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</si>
  <si>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</si>
  <si>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</si>
  <si>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</si>
  <si>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</si>
  <si>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</si>
  <si>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</si>
  <si>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</si>
  <si>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</si>
  <si>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</si>
  <si>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</si>
  <si>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</si>
  <si>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</si>
  <si>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</si>
  <si>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</si>
  <si>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</si>
  <si>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</si>
  <si>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</si>
  <si>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</si>
  <si>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</si>
  <si>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</si>
  <si>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</si>
  <si>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</si>
  <si>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</si>
  <si>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</si>
  <si>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</si>
  <si>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</si>
  <si>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</si>
  <si>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</si>
  <si>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</si>
  <si>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</si>
  <si>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</si>
  <si>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</si>
  <si>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</si>
  <si>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</si>
  <si>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</si>
  <si>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</si>
  <si>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</si>
  <si>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</si>
  <si>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</si>
  <si>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</si>
  <si>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</si>
  <si>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</si>
  <si>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</si>
  <si>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</si>
  <si>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</si>
  <si>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</si>
  <si>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</si>
  <si>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</si>
  <si>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</si>
  <si>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</si>
  <si>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</si>
  <si>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</si>
  <si>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</si>
  <si>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</si>
  <si>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</si>
  <si>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</si>
  <si>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</si>
  <si>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</si>
  <si>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</si>
  <si>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</si>
  <si>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</si>
  <si>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</si>
  <si>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</si>
  <si>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</si>
  <si>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</si>
  <si>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</si>
  <si>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</si>
  <si>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</si>
  <si>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</si>
  <si>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</si>
  <si>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</si>
  <si>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</si>
  <si>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</si>
  <si>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</si>
  <si>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</si>
  <si>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</si>
  <si>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</si>
  <si>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</si>
  <si>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</si>
  <si>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</si>
  <si>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</si>
  <si>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</si>
  <si>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</si>
  <si>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</si>
  <si>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</si>
  <si>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</si>
  <si>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</si>
  <si>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</si>
  <si>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</si>
  <si>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</si>
  <si>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</si>
  <si>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</si>
  <si>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</si>
  <si>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</si>
  <si>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</si>
  <si>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</si>
  <si>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</si>
  <si>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</si>
  <si>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</si>
  <si>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</si>
  <si>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</si>
  <si>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</si>
  <si>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</si>
  <si>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</si>
  <si>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</si>
  <si>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</si>
  <si>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</si>
  <si>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</si>
  <si>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</si>
  <si>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</si>
  <si>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</si>
  <si>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</si>
  <si>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</si>
  <si>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</si>
  <si>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</si>
  <si>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</si>
  <si>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</si>
  <si>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</si>
  <si>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</si>
  <si>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</si>
  <si>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</si>
  <si>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</si>
  <si>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</si>
  <si>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</si>
  <si>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</si>
  <si>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</si>
  <si>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</si>
  <si>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</si>
  <si>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</si>
  <si>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</si>
  <si>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</si>
  <si>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</si>
  <si>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</si>
  <si>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</si>
  <si>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</si>
  <si>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</si>
  <si>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</si>
  <si>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</si>
  <si>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</si>
  <si>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</si>
  <si>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</si>
  <si>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</si>
  <si>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</si>
  <si>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</si>
  <si>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</si>
  <si>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</si>
  <si>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</si>
  <si>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</si>
  <si>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</si>
  <si>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</si>
  <si>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</si>
  <si>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</si>
  <si>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</si>
  <si>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</si>
  <si>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</si>
  <si>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</si>
  <si>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</si>
  <si>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</si>
  <si>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</si>
  <si>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</si>
  <si>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</si>
  <si>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</si>
  <si>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</si>
  <si>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</si>
  <si>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</si>
  <si>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</si>
  <si>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</si>
  <si>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</si>
  <si>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</si>
  <si>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</si>
  <si>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</si>
  <si>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t>A572 Gr50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</si>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</sst>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4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</cellXfs>
  <cellStyles count="4">
    <cellStyle name="20% - 輔色1" xfId="3" builtinId="30"/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__1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1111111111111111111111111111111111111111111111111111111111111111111111111111111111111111111111111111111111111111111111111111111111111111111111111111111111111111111111111111111111111111111111111111111111111111111111111111111111111111111111111111111111111111111111111111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zoomScale="95" zoomScaleNormal="95" workbookViewId="0">
      <selection activeCell="D27" sqref="D27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56" t="s">
        <v>617</v>
      </c>
      <c r="D14" s="256"/>
      <c r="E14" s="256"/>
      <c r="F14" s="256"/>
      <c r="G14" s="256"/>
      <c r="H14" s="256"/>
      <c r="I14" s="122"/>
    </row>
    <row r="15" spans="1:10" ht="16.5">
      <c r="A15" s="120"/>
      <c r="B15" s="119" t="s">
        <v>641</v>
      </c>
      <c r="C15" s="256" t="s">
        <v>642</v>
      </c>
      <c r="D15" s="256"/>
      <c r="E15" s="256"/>
      <c r="F15" s="256"/>
      <c r="G15" s="256"/>
      <c r="H15" s="256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57" t="s">
        <v>792</v>
      </c>
      <c r="C34" s="258"/>
      <c r="D34" s="257" t="s">
        <v>793</v>
      </c>
      <c r="E34" s="258"/>
      <c r="F34" s="126"/>
      <c r="I34" s="122"/>
    </row>
    <row r="35" spans="1:9" ht="18.7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54" t="s">
        <v>671</v>
      </c>
      <c r="C51" s="255"/>
      <c r="D51" s="254" t="s">
        <v>672</v>
      </c>
      <c r="E51" s="255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>
      <formula1>$F$16:$F$19</formula1>
    </dataValidation>
    <dataValidation type="list" allowBlank="1" showInputMessage="1" showErrorMessage="1" sqref="C14:C15">
      <formula1>$J$15:$J$18</formula1>
    </dataValidation>
    <dataValidation type="list" allowBlank="1" showInputMessage="1" showErrorMessage="1" sqref="B19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20" sqref="H20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>
      <c r="A1" t="s">
        <v>782</v>
      </c>
      <c r="B1" t="s">
        <v>783</v>
      </c>
      <c r="C1" t="s">
        <v>784</v>
      </c>
      <c r="D1" t="s">
        <v>785</v>
      </c>
    </row>
    <row r="2" spans="1:13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/>
    <row r="8" spans="1:13" ht="17.25" thickBot="1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319"/>
      <c r="M8" s="320"/>
    </row>
    <row r="9" spans="1:13" ht="17.25" thickBot="1">
      <c r="A9" t="s">
        <v>731</v>
      </c>
      <c r="B9" t="s">
        <v>794</v>
      </c>
      <c r="C9" t="s">
        <v>788</v>
      </c>
      <c r="D9">
        <v>7</v>
      </c>
      <c r="L9" s="317">
        <v>216.98</v>
      </c>
      <c r="M9" s="318">
        <v>262.38</v>
      </c>
    </row>
    <row r="10" spans="1:13" ht="17.25" thickBot="1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317">
        <v>175.14</v>
      </c>
      <c r="M10" s="318">
        <v>211.78</v>
      </c>
    </row>
    <row r="11" spans="1:13" ht="17.25" thickBot="1">
      <c r="A11" t="s">
        <v>732</v>
      </c>
      <c r="B11" t="s">
        <v>794</v>
      </c>
      <c r="C11" t="s">
        <v>788</v>
      </c>
      <c r="D11">
        <v>7</v>
      </c>
      <c r="L11" s="317">
        <v>116.76</v>
      </c>
      <c r="M11" s="318">
        <v>141.19</v>
      </c>
    </row>
    <row r="12" spans="1:13" ht="17.25" thickBot="1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317">
        <v>58.38</v>
      </c>
      <c r="M12" s="318">
        <v>70.59</v>
      </c>
    </row>
    <row r="13" spans="1:13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>
      <c r="A21" s="316" t="s">
        <v>731</v>
      </c>
      <c r="B21" s="174" t="s">
        <v>798</v>
      </c>
      <c r="C21" s="174" t="s">
        <v>799</v>
      </c>
      <c r="D21" s="174">
        <v>11.843</v>
      </c>
    </row>
    <row r="22" spans="1:4">
      <c r="A22" s="316"/>
      <c r="B22" s="174" t="s">
        <v>800</v>
      </c>
      <c r="C22" s="174" t="s">
        <v>799</v>
      </c>
      <c r="D22" s="174">
        <v>19.744</v>
      </c>
    </row>
    <row r="23" spans="1:4">
      <c r="A23" s="316"/>
      <c r="B23" s="174" t="s">
        <v>801</v>
      </c>
      <c r="C23" s="174" t="s">
        <v>799</v>
      </c>
      <c r="D23" s="174">
        <v>2.7879999999999998</v>
      </c>
    </row>
    <row r="24" spans="1:4">
      <c r="A24" s="316" t="s">
        <v>732</v>
      </c>
      <c r="B24" s="174" t="s">
        <v>798</v>
      </c>
      <c r="C24" s="174" t="s">
        <v>799</v>
      </c>
      <c r="D24" s="174">
        <v>11.843</v>
      </c>
    </row>
    <row r="25" spans="1:4">
      <c r="A25" s="316"/>
      <c r="B25" s="174" t="s">
        <v>800</v>
      </c>
      <c r="C25" s="174" t="s">
        <v>799</v>
      </c>
      <c r="D25" s="174">
        <v>19.744</v>
      </c>
    </row>
    <row r="26" spans="1:4">
      <c r="A26" s="316"/>
      <c r="B26" s="174" t="s">
        <v>801</v>
      </c>
      <c r="C26" s="174" t="s">
        <v>799</v>
      </c>
      <c r="D26" s="174">
        <v>3.9430000000000001</v>
      </c>
    </row>
    <row r="27" spans="1:4">
      <c r="A27" s="316" t="s">
        <v>734</v>
      </c>
      <c r="B27" s="174" t="s">
        <v>798</v>
      </c>
      <c r="C27" s="174" t="s">
        <v>799</v>
      </c>
      <c r="D27" s="174">
        <v>22.751000000000001</v>
      </c>
    </row>
    <row r="28" spans="1:4">
      <c r="A28" s="316"/>
      <c r="B28" s="174" t="s">
        <v>800</v>
      </c>
      <c r="C28" s="174" t="s">
        <v>799</v>
      </c>
      <c r="D28" s="174">
        <v>21.329000000000001</v>
      </c>
    </row>
    <row r="29" spans="1:4">
      <c r="A29" s="316"/>
      <c r="B29" s="174" t="s">
        <v>801</v>
      </c>
      <c r="C29" s="174" t="s">
        <v>799</v>
      </c>
      <c r="D29" s="174">
        <v>4.1829999999999998</v>
      </c>
    </row>
    <row r="30" spans="1:4">
      <c r="A30" s="316" t="s">
        <v>736</v>
      </c>
      <c r="B30" s="174" t="s">
        <v>798</v>
      </c>
      <c r="C30" s="174" t="s">
        <v>799</v>
      </c>
      <c r="D30" s="174">
        <v>28.439</v>
      </c>
    </row>
    <row r="31" spans="1:4">
      <c r="A31" s="316"/>
      <c r="B31" s="174" t="s">
        <v>800</v>
      </c>
      <c r="C31" s="174" t="s">
        <v>799</v>
      </c>
      <c r="D31" s="174">
        <v>21.329000000000001</v>
      </c>
    </row>
    <row r="32" spans="1:4">
      <c r="A32" s="316"/>
      <c r="B32" s="174" t="s">
        <v>801</v>
      </c>
      <c r="C32" s="174" t="s">
        <v>799</v>
      </c>
      <c r="D32" s="174">
        <v>4.7030000000000003</v>
      </c>
    </row>
    <row r="33" spans="1:4">
      <c r="A33" s="316" t="s">
        <v>802</v>
      </c>
      <c r="B33" s="174" t="s">
        <v>798</v>
      </c>
      <c r="C33" s="174" t="s">
        <v>799</v>
      </c>
      <c r="D33" s="174">
        <v>74.876000000000005</v>
      </c>
    </row>
    <row r="34" spans="1:4">
      <c r="A34" s="316"/>
      <c r="B34" s="174" t="s">
        <v>800</v>
      </c>
      <c r="C34" s="174" t="s">
        <v>799</v>
      </c>
      <c r="D34" s="174">
        <v>82.147000000000006</v>
      </c>
    </row>
    <row r="35" spans="1:4">
      <c r="A35" s="316"/>
      <c r="B35" s="174" t="s">
        <v>801</v>
      </c>
      <c r="C35" s="174" t="s">
        <v>799</v>
      </c>
      <c r="D35" s="174">
        <v>15.617000000000001</v>
      </c>
    </row>
    <row r="36" spans="1:4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61" workbookViewId="0">
      <selection activeCell="O14" sqref="O14"/>
    </sheetView>
  </sheetViews>
  <sheetFormatPr defaultRowHeight="16.5"/>
  <sheetData>
    <row r="1" spans="1:20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59" t="s">
        <v>558</v>
      </c>
      <c r="B17" s="260" t="s">
        <v>559</v>
      </c>
      <c r="C17" s="261"/>
      <c r="D17" s="261"/>
      <c r="E17" s="261"/>
      <c r="F17" s="262"/>
      <c r="G17" s="66"/>
      <c r="H17" s="66"/>
      <c r="I17" s="66"/>
    </row>
    <row r="18" spans="1:9">
      <c r="A18" s="259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59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59" t="s">
        <v>558</v>
      </c>
      <c r="B22" s="263" t="s">
        <v>560</v>
      </c>
      <c r="C22" s="263"/>
      <c r="D22" s="263"/>
      <c r="E22" s="263"/>
      <c r="F22" s="264"/>
      <c r="G22" s="66"/>
      <c r="H22" s="66"/>
      <c r="I22" s="66"/>
    </row>
    <row r="23" spans="1:9">
      <c r="A23" s="259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59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40" zoomScaleNormal="40" workbookViewId="0">
      <selection activeCell="C16" sqref="C16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65" t="s">
        <v>404</v>
      </c>
      <c r="B2" s="268" t="s">
        <v>490</v>
      </c>
      <c r="C2" s="269"/>
      <c r="D2" s="269"/>
      <c r="E2" s="269"/>
      <c r="F2" s="270"/>
    </row>
    <row r="3" spans="1:9" ht="20.25">
      <c r="A3" s="266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67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65" t="s">
        <v>404</v>
      </c>
      <c r="B10" s="268" t="s">
        <v>494</v>
      </c>
      <c r="C10" s="269"/>
      <c r="D10" s="269"/>
      <c r="E10" s="269"/>
      <c r="F10" s="270"/>
    </row>
    <row r="11" spans="1:9" ht="20.25">
      <c r="A11" s="266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67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71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71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71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71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71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71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71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71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71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71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71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71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71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71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71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71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71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71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71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71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71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71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71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71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71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71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71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71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71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71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71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71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71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71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71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71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71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71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71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71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71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71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71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71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71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71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71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71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71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71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71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71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71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71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71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71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71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71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71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71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71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71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71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71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71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71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71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71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71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71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71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71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71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71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71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71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71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71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71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71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71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71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71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71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71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71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71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71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71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71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71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71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71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71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71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71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71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71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71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71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71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71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71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71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71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71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71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71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71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71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71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71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71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71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71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71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71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71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71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71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71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71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71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71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71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71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71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71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71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71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71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71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71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71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71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71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71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71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71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71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71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71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71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71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71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71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71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71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71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71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71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71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71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71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71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71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71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71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71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71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71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71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71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71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71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71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71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71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71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71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71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71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71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71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71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71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71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71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71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71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71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71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71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71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71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71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71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71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71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71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71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71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71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71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71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71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71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71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71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71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71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71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71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71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71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71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71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71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71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71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71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71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71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71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71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71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71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71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71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71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71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71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71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71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71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71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71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71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71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71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71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71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71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71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71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71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71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71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71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71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71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71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71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71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71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71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71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71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71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71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71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71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71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71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71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71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71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71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71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71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71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71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71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71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71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71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71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71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71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71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71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71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71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71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71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71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71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71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71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71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71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71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71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71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71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71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71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71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71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71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71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71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71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71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71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71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71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71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71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71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71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71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71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71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71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71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71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71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71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71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71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71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71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71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71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71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71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71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71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71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71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71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71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71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71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71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71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71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71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71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71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71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71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71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71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80" zoomScaleNormal="80" workbookViewId="0">
      <selection activeCell="E20" sqref="E20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70" zoomScaleNormal="70" workbookViewId="0">
      <selection activeCell="A50" sqref="A5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74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75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72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73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74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75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72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73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74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75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72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73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74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75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72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73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74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75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72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73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74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75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72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73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74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75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72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73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74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75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72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73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74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75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72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73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74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75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72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73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74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75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72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73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74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75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72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73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76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77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78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79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76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77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78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79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17:A18"/>
    <mergeCell ref="A3:A4"/>
    <mergeCell ref="A5:A6"/>
    <mergeCell ref="A8:A9"/>
    <mergeCell ref="A10:A11"/>
    <mergeCell ref="A15:A1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zoomScale="70" zoomScaleNormal="70" workbookViewId="0">
      <selection activeCell="D66" sqref="D61:D66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80" t="s">
        <v>572</v>
      </c>
      <c r="B1" s="281"/>
      <c r="C1" s="281"/>
      <c r="D1" s="282"/>
      <c r="F1" s="280" t="s">
        <v>806</v>
      </c>
      <c r="G1" s="281"/>
      <c r="H1" s="281"/>
      <c r="I1" s="282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3" t="s">
        <v>619</v>
      </c>
      <c r="G10" s="284"/>
      <c r="H10" s="284"/>
      <c r="I10" s="96">
        <f>SUM(I4:I7,I9:I9)/1000</f>
        <v>792.64</v>
      </c>
    </row>
    <row r="11" spans="1:9" ht="16.5" thickBot="1">
      <c r="A11" s="283" t="s">
        <v>618</v>
      </c>
      <c r="B11" s="284"/>
      <c r="C11" s="284"/>
      <c r="D11" s="96">
        <f>SUM(D4:D7,D9:D10)/1000</f>
        <v>698.072</v>
      </c>
    </row>
    <row r="12" spans="1:9" ht="16.5" thickBot="1">
      <c r="F12" s="280" t="s">
        <v>807</v>
      </c>
      <c r="G12" s="281"/>
      <c r="H12" s="281"/>
      <c r="I12" s="282"/>
    </row>
    <row r="13" spans="1:9" ht="16.5" thickBot="1">
      <c r="A13" s="280" t="s">
        <v>808</v>
      </c>
      <c r="B13" s="281"/>
      <c r="C13" s="281"/>
      <c r="D13" s="282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3" t="s">
        <v>619</v>
      </c>
      <c r="G21" s="284"/>
      <c r="H21" s="284"/>
      <c r="I21" s="96">
        <f>SUM(I15:I18,I20:I20)/1000</f>
        <v>792.64</v>
      </c>
    </row>
    <row r="22" spans="1:9" ht="16.5" thickBot="1">
      <c r="A22" s="283" t="s">
        <v>619</v>
      </c>
      <c r="B22" s="284"/>
      <c r="C22" s="284"/>
      <c r="D22" s="96">
        <f>SUM(D16:D19,D21:D21)/1000</f>
        <v>792.64</v>
      </c>
    </row>
    <row r="23" spans="1:9" ht="16.5" thickBot="1"/>
    <row r="24" spans="1:9" ht="16.5" thickBot="1">
      <c r="A24" s="280" t="s">
        <v>809</v>
      </c>
      <c r="B24" s="281"/>
      <c r="C24" s="281"/>
      <c r="D24" s="282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83" t="s">
        <v>620</v>
      </c>
      <c r="B33" s="284"/>
      <c r="C33" s="284"/>
      <c r="D33" s="96">
        <f>SUM(D27:D30,D32:D32)/1000</f>
        <v>792.64</v>
      </c>
    </row>
    <row r="34" spans="1:5" ht="16.5" thickBot="1"/>
    <row r="35" spans="1:5" ht="16.5" thickBot="1">
      <c r="A35" s="280" t="s">
        <v>810</v>
      </c>
      <c r="B35" s="281"/>
      <c r="C35" s="281"/>
      <c r="D35" s="282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83" t="s">
        <v>621</v>
      </c>
      <c r="B44" s="284"/>
      <c r="C44" s="284"/>
      <c r="D44" s="96">
        <f>SUM(D38:D41,D43:D43)/1000</f>
        <v>792.64</v>
      </c>
    </row>
    <row r="45" spans="1:5" ht="16.5" thickBot="1"/>
    <row r="46" spans="1:5" ht="16.5" thickBot="1">
      <c r="A46" s="286" t="s">
        <v>622</v>
      </c>
      <c r="B46" s="287"/>
      <c r="C46" s="287"/>
      <c r="D46" s="96">
        <f>D44+D33+D22+D11+I10+I21</f>
        <v>4661.2719999999999</v>
      </c>
    </row>
    <row r="47" spans="1:5" ht="16.5" thickBot="1">
      <c r="A47" s="288" t="s">
        <v>624</v>
      </c>
      <c r="B47" s="289"/>
      <c r="C47" s="290"/>
      <c r="D47" s="187">
        <f>D46*E47</f>
        <v>677.28282160000003</v>
      </c>
      <c r="E47" s="6">
        <v>0.14530000000000001</v>
      </c>
    </row>
    <row r="48" spans="1:5" ht="16.5" thickBot="1">
      <c r="A48" s="291" t="s">
        <v>623</v>
      </c>
      <c r="B48" s="292"/>
      <c r="C48" s="293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85" t="s">
        <v>633</v>
      </c>
      <c r="B69" s="285"/>
      <c r="C69" s="285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topLeftCell="A76" zoomScale="84" zoomScaleNormal="84" workbookViewId="0">
      <selection activeCell="K84" sqref="K84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0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1037</v>
      </c>
    </row>
    <row r="2" spans="1:30" ht="15.75" customHeight="1">
      <c r="A2" s="54" t="str">
        <f>WEIGHT!A121</f>
        <v>RF</v>
      </c>
      <c r="B2" s="150">
        <v>0</v>
      </c>
      <c r="C2" s="150">
        <f>B2</f>
        <v>0</v>
      </c>
      <c r="D2" s="150">
        <f t="shared" ref="D2:D7" si="0">C2/4</f>
        <v>0</v>
      </c>
      <c r="E2" s="150">
        <f t="shared" ref="E2:E7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0" s="173" customFormat="1" ht="16.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1.1000000000000001</v>
      </c>
    </row>
    <row r="4" spans="1:30" ht="16.5">
      <c r="A4" s="54" t="str">
        <f>WEIGHT!A122</f>
        <v>4F</v>
      </c>
      <c r="B4" s="237">
        <v>262.38</v>
      </c>
      <c r="C4" s="90">
        <f>C3+B4</f>
        <v>262.38</v>
      </c>
      <c r="D4" s="150">
        <f t="shared" si="0"/>
        <v>65.594999999999999</v>
      </c>
      <c r="E4" s="150">
        <f t="shared" si="1"/>
        <v>49.806029613309235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0" ht="16.5">
      <c r="A5" s="54" t="str">
        <f>WEIGHT!A123</f>
        <v>3F</v>
      </c>
      <c r="B5" s="237">
        <v>211.78</v>
      </c>
      <c r="C5" s="150">
        <f>C4+B5</f>
        <v>474.15999999999997</v>
      </c>
      <c r="D5" s="150">
        <f t="shared" si="0"/>
        <v>118.53999999999999</v>
      </c>
      <c r="E5" s="150">
        <f t="shared" si="1"/>
        <v>90.00696318868323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294" t="s">
        <v>1009</v>
      </c>
      <c r="U5" s="294"/>
    </row>
    <row r="6" spans="1:30" s="173" customFormat="1" ht="16.5">
      <c r="A6" s="174" t="s">
        <v>821</v>
      </c>
      <c r="B6" s="237">
        <v>141.19</v>
      </c>
      <c r="C6" s="150">
        <f>C5+B6</f>
        <v>615.34999999999991</v>
      </c>
      <c r="D6" s="150">
        <f t="shared" si="0"/>
        <v>153.83749999999998</v>
      </c>
      <c r="E6" s="150">
        <f t="shared" si="1"/>
        <v>116.80821831904045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294" t="s">
        <v>1011</v>
      </c>
      <c r="U6" s="294"/>
    </row>
    <row r="7" spans="1:30" ht="16.5">
      <c r="A7" s="54" t="str">
        <f>WEIGHT!A124</f>
        <v>1F</v>
      </c>
      <c r="B7" s="237">
        <v>70.59</v>
      </c>
      <c r="C7" s="150">
        <f>C6+B7</f>
        <v>685.93999999999994</v>
      </c>
      <c r="D7" s="150">
        <f t="shared" si="0"/>
        <v>171.48499999999999</v>
      </c>
      <c r="E7" s="150">
        <f t="shared" si="1"/>
        <v>130.20789676405721</v>
      </c>
      <c r="G7" s="235">
        <f t="shared" si="2"/>
        <v>0.85196632717327203</v>
      </c>
    </row>
    <row r="8" spans="1:30" s="173" customFormat="1">
      <c r="A8" s="62"/>
      <c r="B8" s="223"/>
      <c r="C8" s="223"/>
      <c r="D8" s="223"/>
      <c r="E8" s="223"/>
      <c r="G8" s="176"/>
    </row>
    <row r="9" spans="1:30" s="173" customFormat="1">
      <c r="A9" s="62"/>
      <c r="B9" s="223"/>
      <c r="C9" s="223"/>
      <c r="D9" s="223"/>
      <c r="E9" s="223"/>
      <c r="G9" s="176"/>
      <c r="R9" s="233" t="s">
        <v>1041</v>
      </c>
    </row>
    <row r="10" spans="1:30" ht="16.5" customHeight="1">
      <c r="B10" s="223"/>
      <c r="R10" s="230">
        <f>B29/B30*1.3</f>
        <v>166.59207288765089</v>
      </c>
      <c r="U10" s="295" t="s">
        <v>1039</v>
      </c>
      <c r="V10" s="295"/>
    </row>
    <row r="11" spans="1:30" ht="32.25" thickBot="1">
      <c r="N11" s="41" t="s">
        <v>728</v>
      </c>
      <c r="P11" s="55" t="s">
        <v>1006</v>
      </c>
      <c r="Q11" s="6" t="s">
        <v>1035</v>
      </c>
      <c r="R11" s="230">
        <f>E29/E30*1.3</f>
        <v>136.96428571428572</v>
      </c>
      <c r="S11" s="6" t="s">
        <v>1038</v>
      </c>
      <c r="U11" s="295"/>
      <c r="V11" s="295"/>
    </row>
    <row r="12" spans="1:30" s="55" customFormat="1" ht="52.5" customHeight="1">
      <c r="A12" s="298" t="s">
        <v>1002</v>
      </c>
      <c r="B12" s="299"/>
      <c r="C12" s="300"/>
      <c r="D12" s="298" t="s">
        <v>1003</v>
      </c>
      <c r="E12" s="299"/>
      <c r="F12" s="300"/>
      <c r="G12" s="298" t="s">
        <v>1004</v>
      </c>
      <c r="H12" s="299"/>
      <c r="I12" s="300"/>
      <c r="N12" s="114" t="str">
        <f>A1</f>
        <v>Story</v>
      </c>
      <c r="O12" s="114" t="str">
        <f t="shared" ref="O12:O18" si="3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296" t="s">
        <v>1040</v>
      </c>
      <c r="V12" s="297"/>
      <c r="W12" s="301" t="s">
        <v>726</v>
      </c>
      <c r="X12" s="302"/>
      <c r="Y12" s="302"/>
      <c r="Z12" s="302"/>
      <c r="AA12" s="302"/>
      <c r="AB12" s="302"/>
      <c r="AC12" s="302"/>
      <c r="AD12" s="303"/>
    </row>
    <row r="13" spans="1:30">
      <c r="A13" s="156" t="s">
        <v>698</v>
      </c>
      <c r="B13" s="157">
        <v>415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3"/>
        <v>0</v>
      </c>
      <c r="P13" s="150">
        <f t="shared" ref="P13:P18" si="4">O13*SIN(G2)*10/11</f>
        <v>0</v>
      </c>
      <c r="Q13" s="6">
        <f>0.9*H30</f>
        <v>0</v>
      </c>
      <c r="R13" s="224" t="e">
        <f t="shared" ref="R13:R18" si="5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0">
      <c r="A14" s="156" t="s">
        <v>700</v>
      </c>
      <c r="B14" s="157">
        <v>405</v>
      </c>
      <c r="C14" s="158" t="s">
        <v>699</v>
      </c>
      <c r="D14" s="156" t="s">
        <v>700</v>
      </c>
      <c r="E14" s="157">
        <v>305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3"/>
        <v>0</v>
      </c>
      <c r="P14" s="150">
        <f t="shared" si="4"/>
        <v>0</v>
      </c>
      <c r="Q14" s="150">
        <f>Q13</f>
        <v>0</v>
      </c>
      <c r="R14" s="224" t="e">
        <f t="shared" si="5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6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0">
      <c r="A15" s="156" t="s">
        <v>701</v>
      </c>
      <c r="B15" s="157">
        <v>18</v>
      </c>
      <c r="C15" s="158" t="s">
        <v>699</v>
      </c>
      <c r="D15" s="156" t="s">
        <v>701</v>
      </c>
      <c r="E15" s="157">
        <v>15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3"/>
        <v>49.806029613309235</v>
      </c>
      <c r="P15" s="150">
        <f t="shared" si="4"/>
        <v>34.075324675324673</v>
      </c>
      <c r="Q15" s="150">
        <f>0.9*E30</f>
        <v>99.792000000000002</v>
      </c>
      <c r="R15" s="224" t="str">
        <f t="shared" si="5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323.94150786425752</v>
      </c>
      <c r="V15" s="224" t="str">
        <f t="shared" si="6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305</v>
      </c>
      <c r="AA15" s="116" t="s">
        <v>727</v>
      </c>
      <c r="AB15" s="157">
        <f>E15</f>
        <v>15</v>
      </c>
      <c r="AC15" s="116" t="s">
        <v>727</v>
      </c>
      <c r="AD15" s="157">
        <f>E16</f>
        <v>25</v>
      </c>
    </row>
    <row r="16" spans="1:30">
      <c r="A16" s="156" t="s">
        <v>702</v>
      </c>
      <c r="B16" s="157">
        <v>28</v>
      </c>
      <c r="C16" s="158" t="s">
        <v>699</v>
      </c>
      <c r="D16" s="156" t="s">
        <v>702</v>
      </c>
      <c r="E16" s="157">
        <v>25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3"/>
        <v>90.00696318868323</v>
      </c>
      <c r="P16" s="150">
        <f t="shared" si="4"/>
        <v>61.579220779220783</v>
      </c>
      <c r="Q16" s="150">
        <f>Q15</f>
        <v>99.792000000000002</v>
      </c>
      <c r="R16" s="224" t="str">
        <f t="shared" si="5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323.94150786425752</v>
      </c>
      <c r="V16" s="224" t="str">
        <f t="shared" si="6"/>
        <v>OK</v>
      </c>
      <c r="W16" s="169" t="s">
        <v>739</v>
      </c>
      <c r="X16" s="157">
        <f t="shared" ref="X16:AD16" si="7">X15</f>
        <v>400</v>
      </c>
      <c r="Y16" s="116" t="str">
        <f t="shared" si="7"/>
        <v>x</v>
      </c>
      <c r="Z16" s="157">
        <f t="shared" si="7"/>
        <v>305</v>
      </c>
      <c r="AA16" s="116" t="str">
        <f t="shared" si="7"/>
        <v>x</v>
      </c>
      <c r="AB16" s="157">
        <f t="shared" si="7"/>
        <v>15</v>
      </c>
      <c r="AC16" s="116" t="str">
        <f t="shared" si="7"/>
        <v>x</v>
      </c>
      <c r="AD16" s="157">
        <f t="shared" si="7"/>
        <v>25</v>
      </c>
    </row>
    <row r="17" spans="1:30">
      <c r="A17" s="156" t="s">
        <v>703</v>
      </c>
      <c r="B17" s="62">
        <v>3.52</v>
      </c>
      <c r="C17" s="158" t="s">
        <v>718</v>
      </c>
      <c r="D17" s="156" t="s">
        <v>703</v>
      </c>
      <c r="E17" s="62">
        <v>3.52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3"/>
        <v>116.80821831904045</v>
      </c>
      <c r="P17" s="150">
        <f t="shared" si="4"/>
        <v>79.915584415584405</v>
      </c>
      <c r="Q17" s="150">
        <f>0.9*B30</f>
        <v>122.829696</v>
      </c>
      <c r="R17" s="224" t="str">
        <f t="shared" si="5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439.91328861406532</v>
      </c>
      <c r="V17" s="224" t="str">
        <f t="shared" si="6"/>
        <v>OK</v>
      </c>
      <c r="W17" s="169" t="s">
        <v>739</v>
      </c>
      <c r="X17" s="157">
        <f>B13</f>
        <v>415</v>
      </c>
      <c r="Y17" s="116" t="str">
        <f>Y16</f>
        <v>x</v>
      </c>
      <c r="Z17" s="157">
        <f>B14</f>
        <v>405</v>
      </c>
      <c r="AA17" s="116" t="str">
        <f>AA16</f>
        <v>x</v>
      </c>
      <c r="AB17" s="157">
        <f>B15</f>
        <v>18</v>
      </c>
      <c r="AC17" s="116" t="str">
        <f>AC16</f>
        <v>x</v>
      </c>
      <c r="AD17" s="157">
        <f>B16</f>
        <v>28</v>
      </c>
    </row>
    <row r="18" spans="1:30" ht="16.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3"/>
        <v>130.20789676405721</v>
      </c>
      <c r="P18" s="150">
        <f t="shared" si="4"/>
        <v>89.083116883116858</v>
      </c>
      <c r="Q18" s="150">
        <f>Q17</f>
        <v>122.829696</v>
      </c>
      <c r="R18" s="224" t="str">
        <f t="shared" si="5"/>
        <v>OK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439.91328861406532</v>
      </c>
      <c r="V18" s="224" t="str">
        <f t="shared" si="6"/>
        <v>OK</v>
      </c>
      <c r="W18" s="169" t="s">
        <v>739</v>
      </c>
      <c r="X18" s="157">
        <f>X17</f>
        <v>415</v>
      </c>
      <c r="Y18" s="116" t="str">
        <f>Y17</f>
        <v>x</v>
      </c>
      <c r="Z18" s="157">
        <f>Z17</f>
        <v>405</v>
      </c>
      <c r="AA18" s="116" t="str">
        <f>AA17</f>
        <v>x</v>
      </c>
      <c r="AB18" s="157">
        <f>AB17</f>
        <v>18</v>
      </c>
      <c r="AC18" s="116" t="str">
        <f>AC17</f>
        <v>x</v>
      </c>
      <c r="AD18" s="157">
        <f>AD17</f>
        <v>28</v>
      </c>
    </row>
    <row r="19" spans="1:30" ht="16.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0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0" ht="18.75">
      <c r="A21" s="163" t="s">
        <v>707</v>
      </c>
      <c r="B21" s="155">
        <f>B14*B16*2+(B13-B16-B16)*B15</f>
        <v>29142</v>
      </c>
      <c r="C21" s="93" t="s">
        <v>708</v>
      </c>
      <c r="D21" s="163" t="s">
        <v>707</v>
      </c>
      <c r="E21" s="155">
        <f>E14*E16*2+(E13-E16-E16)*E15</f>
        <v>20500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0" ht="18">
      <c r="A22" s="163" t="s">
        <v>709</v>
      </c>
      <c r="B22" s="155">
        <f>(B15*(B13-B16-B16)^3)/12+2*(B14*B16*B16*B16/12+B14*B16*(B13*0.5-0.5*B16)^2)</f>
        <v>920074408.5</v>
      </c>
      <c r="C22" s="93" t="s">
        <v>710</v>
      </c>
      <c r="D22" s="163" t="s">
        <v>709</v>
      </c>
      <c r="E22" s="155">
        <f>(E15*(E13-E16-E16)^3)/12+2*(E14*E16*E16*E16/12+E14*E16*(E13*0.5-0.5*E16)^2)</f>
        <v>590520833.33333337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8">P49</f>
        <v>0</v>
      </c>
      <c r="Q22" s="150">
        <f>1.1*O22/TAN(Q49)</f>
        <v>0</v>
      </c>
      <c r="R22" s="220" t="e">
        <f t="shared" ref="R22:R27" si="9">P22-S49</f>
        <v>#DIV/0!</v>
      </c>
    </row>
    <row r="23" spans="1:30" ht="18">
      <c r="A23" s="163" t="s">
        <v>711</v>
      </c>
      <c r="B23" s="155">
        <f>(B13-B16-B16)*B15*B15*B15/12+B16*B14*B14*B14*2/12</f>
        <v>310181724</v>
      </c>
      <c r="C23" s="93" t="s">
        <v>710</v>
      </c>
      <c r="D23" s="163" t="s">
        <v>711</v>
      </c>
      <c r="E23" s="155">
        <f>(E13-E16-E16)*E15*E15*E15/12+E16*E14*E14*E14*2/12</f>
        <v>118317708.33333333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8"/>
        <v>0</v>
      </c>
      <c r="Q23" s="150">
        <f>1.1*O23/TAN(Q50)</f>
        <v>0</v>
      </c>
      <c r="R23" s="220" t="e">
        <f t="shared" si="9"/>
        <v>#DIV/0!</v>
      </c>
    </row>
    <row r="24" spans="1:30" ht="18">
      <c r="A24" s="163" t="s">
        <v>712</v>
      </c>
      <c r="B24" s="155">
        <f>(B13-B16-B16)*B15*B15*B15/3+B14*B16*B16*B16/3*2</f>
        <v>6624936</v>
      </c>
      <c r="C24" s="93" t="s">
        <v>710</v>
      </c>
      <c r="D24" s="163" t="s">
        <v>712</v>
      </c>
      <c r="E24" s="155">
        <f>(E13-E16-E16)*E15*E15*E15/3+E14*E16*E16*E16/3*2</f>
        <v>3570833.3333333335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134.16480000000001</v>
      </c>
      <c r="P24" s="198">
        <f t="shared" si="8"/>
        <v>7622.9999999999991</v>
      </c>
      <c r="Q24" s="150">
        <f>1.1*O24/TAN(G4)</f>
        <v>129.13362000000006</v>
      </c>
      <c r="R24" s="220">
        <f t="shared" si="9"/>
        <v>4379.9757568414561</v>
      </c>
    </row>
    <row r="25" spans="1:30" ht="18">
      <c r="A25" s="163" t="s">
        <v>713</v>
      </c>
      <c r="B25" s="155">
        <f>B22/(B13/2)</f>
        <v>4434093.5349397594</v>
      </c>
      <c r="C25" s="93" t="s">
        <v>714</v>
      </c>
      <c r="D25" s="163" t="s">
        <v>713</v>
      </c>
      <c r="E25" s="155">
        <f>E22/(E13/2)</f>
        <v>2952604.166666667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134.16480000000001</v>
      </c>
      <c r="P25" s="198">
        <f t="shared" si="8"/>
        <v>7622.9999999999991</v>
      </c>
      <c r="Q25" s="150">
        <f>1.1*O25/TAN(G5)</f>
        <v>129.13362000000006</v>
      </c>
      <c r="R25" s="220">
        <f t="shared" si="9"/>
        <v>4379.9757568414561</v>
      </c>
    </row>
    <row r="26" spans="1:30" ht="18">
      <c r="A26" s="163" t="s">
        <v>715</v>
      </c>
      <c r="B26" s="155">
        <f>B23/(B14/2)</f>
        <v>1531761.6</v>
      </c>
      <c r="C26" s="93" t="s">
        <v>714</v>
      </c>
      <c r="D26" s="163" t="s">
        <v>715</v>
      </c>
      <c r="E26" s="155">
        <f>E23/(E14/2)</f>
        <v>775853.82513661194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165.13770240000002</v>
      </c>
      <c r="P26" s="198">
        <f t="shared" si="8"/>
        <v>9382.8239999999987</v>
      </c>
      <c r="Q26" s="150">
        <f>1.1*O26/TAN(G6)</f>
        <v>158.94503856000009</v>
      </c>
      <c r="R26" s="220">
        <f t="shared" si="9"/>
        <v>5217.9117046180545</v>
      </c>
    </row>
    <row r="27" spans="1:30" ht="18">
      <c r="A27" s="163" t="s">
        <v>716</v>
      </c>
      <c r="B27" s="155">
        <f>B14*B13*B13*0.25-(B14-B15)*((B13-2*B16)^2)*0.25</f>
        <v>4968544.5</v>
      </c>
      <c r="C27" s="93" t="s">
        <v>714</v>
      </c>
      <c r="D27" s="163" t="s">
        <v>716</v>
      </c>
      <c r="E27" s="155">
        <f>E14*E13*E13*0.25-(E14-E15)*(E13-2*E16)^2*0.25</f>
        <v>3318750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165.13770240000002</v>
      </c>
      <c r="P27" s="198">
        <f t="shared" si="8"/>
        <v>9382.8239999999987</v>
      </c>
      <c r="Q27" s="150">
        <f>1.1*O27/TAN(G7)</f>
        <v>158.94503856000009</v>
      </c>
      <c r="R27" s="220">
        <f t="shared" si="9"/>
        <v>5217.9117046180545</v>
      </c>
    </row>
    <row r="28" spans="1:30" ht="18.75" thickBot="1">
      <c r="A28" s="165" t="s">
        <v>717</v>
      </c>
      <c r="B28" s="146">
        <f>B16*B14*B14*0.25*2+(B13-2*B16)*B15*B15*0.25</f>
        <v>2325429</v>
      </c>
      <c r="C28" s="166" t="s">
        <v>714</v>
      </c>
      <c r="D28" s="165" t="s">
        <v>717</v>
      </c>
      <c r="E28" s="146">
        <f>E16*E14*E14*0.25*2+(E13-2*E16)*E15*E15*0.25</f>
        <v>1182500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0" ht="16.5">
      <c r="A29" s="167" t="s">
        <v>719</v>
      </c>
      <c r="B29" s="168">
        <f>B27*B17/1000</f>
        <v>17489.27664</v>
      </c>
      <c r="C29" s="99" t="s">
        <v>721</v>
      </c>
      <c r="D29" s="167" t="s">
        <v>719</v>
      </c>
      <c r="E29" s="168">
        <f>E27*E17/1000</f>
        <v>11682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0" ht="19.5" thickBot="1">
      <c r="A30" s="164" t="s">
        <v>720</v>
      </c>
      <c r="B30" s="94">
        <f>0.6*(B13-B16-B16)*B15*B17/10/10</f>
        <v>136.47744</v>
      </c>
      <c r="C30" s="95" t="s">
        <v>722</v>
      </c>
      <c r="D30" s="164" t="s">
        <v>720</v>
      </c>
      <c r="E30" s="94">
        <f>0.6*(E13-E16-E16)*E15*E17/10/10</f>
        <v>110.88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0" s="173" customFormat="1">
      <c r="A31" s="205" t="s">
        <v>745</v>
      </c>
      <c r="B31" s="168">
        <f>B14*0.5/B16</f>
        <v>7.2321428571428568</v>
      </c>
      <c r="C31" s="168" t="s">
        <v>955</v>
      </c>
      <c r="D31" s="204" t="s">
        <v>931</v>
      </c>
      <c r="E31" s="168">
        <f>E14*0.5/E16</f>
        <v>6.1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0">IF(R31&lt;1,"OK","NG")</f>
        <v>#DIV/0!</v>
      </c>
      <c r="T31" s="154"/>
      <c r="U31" s="6"/>
      <c r="Y31" s="6"/>
      <c r="Z31" s="6"/>
      <c r="AA31" s="6"/>
    </row>
    <row r="32" spans="1:30" s="173" customFormat="1">
      <c r="A32" s="163" t="s">
        <v>746</v>
      </c>
      <c r="B32" s="174">
        <f>25/SQRT(B17)</f>
        <v>13.325044772225652</v>
      </c>
      <c r="C32" s="174" t="s">
        <v>953</v>
      </c>
      <c r="D32" s="174" t="s">
        <v>746</v>
      </c>
      <c r="E32" s="174">
        <f>25/SQRT(E17)</f>
        <v>13.325044772225652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0"/>
        <v>#DIV/0!</v>
      </c>
      <c r="T32" s="154"/>
      <c r="U32" s="6"/>
      <c r="Y32" s="6"/>
      <c r="Z32" s="6"/>
      <c r="AA32" s="6"/>
    </row>
    <row r="33" spans="1:27" s="173" customFormat="1">
      <c r="A33" s="200" t="s">
        <v>747</v>
      </c>
      <c r="B33" s="174">
        <f>16/SQRT(B17)</f>
        <v>8.5280286542244177</v>
      </c>
      <c r="C33" s="174" t="s">
        <v>954</v>
      </c>
      <c r="D33" s="199" t="s">
        <v>747</v>
      </c>
      <c r="E33" s="174">
        <f>16/SQRT(E17)</f>
        <v>8.5280286542244177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0.30467096592548287</v>
      </c>
      <c r="P33" s="150">
        <f>IF(O33&lt;=1.5,(0.658^(O33*O33))*E17*E21/100,0.877/O33/O33*E17*E21/100)</f>
        <v>694.1022506697077</v>
      </c>
      <c r="Q33" s="150">
        <f>IF(AND(E31&lt;E33,E34&lt;E36),E29,0)</f>
        <v>11682</v>
      </c>
      <c r="R33" s="222">
        <f>IF(Q24/(0.85*M3*P33)&gt;=0.2,Q24/(0.85*M3*P33)+8*R24/(9*0.9*M3*Q33),Q24/(2*0.85*M3*P33)+R24/(0.9*M3*Q33))</f>
        <v>0.47820974968909385</v>
      </c>
      <c r="S33" s="217" t="str">
        <f t="shared" si="10"/>
        <v>OK</v>
      </c>
    </row>
    <row r="34" spans="1:27" s="173" customFormat="1">
      <c r="A34" s="200" t="s">
        <v>748</v>
      </c>
      <c r="B34" s="174">
        <f>(B13-B16-B16)/B15</f>
        <v>19.944444444444443</v>
      </c>
      <c r="C34" s="174" t="s">
        <v>956</v>
      </c>
      <c r="D34" s="199" t="s">
        <v>748</v>
      </c>
      <c r="E34" s="174">
        <f>(E13-E16-E16)/E15</f>
        <v>23.333333333333332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0.30467096592548287</v>
      </c>
      <c r="P34" s="150">
        <f>IF(O34&lt;=1.5,(0.658^(O34*O34))*E17*E21/100,0.877/O34/O34*E17*E21/100)</f>
        <v>694.1022506697077</v>
      </c>
      <c r="Q34" s="150">
        <f>IF(AND(E31&lt;E33,E34&lt;E36),E29,0)</f>
        <v>11682</v>
      </c>
      <c r="R34" s="222">
        <f>IF(Q25/(0.85*M3*P34)&gt;=0.2,Q25/(0.85*M3*P34)+8*R25/(9*0.9*M3*Q34),Q25/(2*0.85*M3*P34)+R25/(0.9*M3*Q34))</f>
        <v>0.47820974968909385</v>
      </c>
      <c r="S34" s="217" t="str">
        <f t="shared" si="10"/>
        <v>OK</v>
      </c>
    </row>
    <row r="35" spans="1:27" s="173" customFormat="1">
      <c r="A35" s="163" t="s">
        <v>749</v>
      </c>
      <c r="B35" s="174">
        <f>260/SQRT(B17)</f>
        <v>138.58046563114678</v>
      </c>
      <c r="C35" s="174" t="s">
        <v>957</v>
      </c>
      <c r="D35" s="174" t="s">
        <v>749</v>
      </c>
      <c r="E35" s="174">
        <f>260/SQRT(E17)</f>
        <v>138.58046563114678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0.22435233183179895</v>
      </c>
      <c r="P35" s="150">
        <f>IF(O35&lt;=1.5,(0.658^(O35*O35))*B17*B21/100,0.877/O35/O35*B17*B21/100)</f>
        <v>1004.4136476517014</v>
      </c>
      <c r="Q35" s="150">
        <f>IF(AND(B31&lt;B33,B34&lt;B36),B29,0)</f>
        <v>17489.27664</v>
      </c>
      <c r="R35" s="222">
        <f>IF(Q26/(0.85*M3*P35)&gt;=0.2,Q26/(0.85*M3*P35)+8*R26/(9*0.9*M3*Q35),Q26/(2*0.85*M3*P35)+R26/(0.9*M3*Q35))</f>
        <v>0.38598667586902091</v>
      </c>
      <c r="S35" s="217" t="str">
        <f t="shared" si="10"/>
        <v>OK</v>
      </c>
    </row>
    <row r="36" spans="1:27" s="173" customFormat="1" ht="16.5" thickBot="1">
      <c r="A36" s="202" t="s">
        <v>750</v>
      </c>
      <c r="B36" s="94">
        <f>170/SQRT(B17)</f>
        <v>90.610304451134425</v>
      </c>
      <c r="C36" s="94" t="s">
        <v>958</v>
      </c>
      <c r="D36" s="201" t="s">
        <v>750</v>
      </c>
      <c r="E36" s="94">
        <f>170/SQRT(E17)</f>
        <v>90.610304451134425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0.22435233183179895</v>
      </c>
      <c r="P36" s="150">
        <f>IF(O36&lt;=1.5,(0.658^(O36*O36))*B17*B21/100,0.877/O36/O36*B17*B21/100)</f>
        <v>1004.4136476517014</v>
      </c>
      <c r="Q36" s="150">
        <f>IF(AND(B31&lt;B33,B34&lt;B36),B29,0)</f>
        <v>17489.27664</v>
      </c>
      <c r="R36" s="222">
        <f>IF(Q27/(0.85*M3*P36)&gt;=0.2,Q27/(0.85*M3*P36)+8*R27/(9*0.9*M3*Q36),Q27/(2*0.85*M3*P36)+R27/(0.9*M3*Q36))</f>
        <v>0.38598667586902091</v>
      </c>
      <c r="S36" s="217" t="str">
        <f t="shared" si="10"/>
        <v>OK</v>
      </c>
    </row>
    <row r="37" spans="1:27" ht="16.5">
      <c r="C37" s="173"/>
      <c r="N37" s="238" t="s">
        <v>1043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>
      <c r="N38" s="227"/>
      <c r="O38" s="294" t="s">
        <v>976</v>
      </c>
      <c r="P38" s="294" t="s">
        <v>973</v>
      </c>
      <c r="Q38" s="294"/>
    </row>
    <row r="39" spans="1:27" s="173" customFormat="1">
      <c r="N39" s="227"/>
      <c r="O39" s="294"/>
      <c r="P39" s="294"/>
      <c r="Q39" s="294"/>
    </row>
    <row r="40" spans="1:27" s="173" customFormat="1">
      <c r="N40" s="227"/>
      <c r="O40" s="294" t="s">
        <v>977</v>
      </c>
      <c r="P40" s="294" t="s">
        <v>974</v>
      </c>
      <c r="Q40" s="294"/>
    </row>
    <row r="41" spans="1:27" s="173" customFormat="1">
      <c r="N41" s="227"/>
      <c r="O41" s="294"/>
      <c r="P41" s="294"/>
      <c r="Q41" s="294"/>
    </row>
    <row r="42" spans="1:27" s="173" customFormat="1">
      <c r="N42" s="227"/>
      <c r="O42" s="211" t="s">
        <v>978</v>
      </c>
    </row>
    <row r="43" spans="1:27" s="173" customFormat="1" ht="16.5">
      <c r="N43" s="227"/>
      <c r="O43" s="215" t="s">
        <v>990</v>
      </c>
    </row>
    <row r="44" spans="1:27" s="173" customFormat="1">
      <c r="N44" s="227"/>
    </row>
    <row r="45" spans="1:27" s="173" customFormat="1">
      <c r="N45" s="227"/>
    </row>
    <row r="46" spans="1:27" ht="18.75" customHeight="1" thickBot="1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>
      <c r="A47" s="298" t="s">
        <v>835</v>
      </c>
      <c r="B47" s="299"/>
      <c r="C47" s="300"/>
      <c r="D47" s="298" t="s">
        <v>828</v>
      </c>
      <c r="E47" s="299"/>
      <c r="F47" s="300"/>
      <c r="G47" s="298" t="s">
        <v>829</v>
      </c>
      <c r="H47" s="299"/>
      <c r="I47" s="300"/>
      <c r="N47" s="41" t="s">
        <v>729</v>
      </c>
      <c r="P47" s="6" t="s">
        <v>1017</v>
      </c>
      <c r="S47" s="215" t="s">
        <v>932</v>
      </c>
    </row>
    <row r="48" spans="1:27" ht="47.25">
      <c r="A48" s="156" t="s">
        <v>698</v>
      </c>
      <c r="B48" s="157">
        <v>420</v>
      </c>
      <c r="C48" s="158" t="s">
        <v>699</v>
      </c>
      <c r="D48" s="156" t="s">
        <v>698</v>
      </c>
      <c r="E48" s="157">
        <v>410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1" t="s">
        <v>726</v>
      </c>
      <c r="U48" s="302"/>
      <c r="V48" s="302"/>
      <c r="W48" s="302"/>
      <c r="X48" s="302"/>
      <c r="Y48" s="302"/>
      <c r="Z48" s="302"/>
      <c r="AA48" s="303"/>
    </row>
    <row r="49" spans="1:27" ht="24" customHeight="1">
      <c r="A49" s="156" t="s">
        <v>700</v>
      </c>
      <c r="B49" s="157">
        <v>320</v>
      </c>
      <c r="C49" s="158" t="s">
        <v>699</v>
      </c>
      <c r="D49" s="156" t="s">
        <v>700</v>
      </c>
      <c r="E49" s="157">
        <v>310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1">G2</f>
        <v>0.85196632717327203</v>
      </c>
      <c r="R49" s="150">
        <f t="shared" ref="R49:R54" si="12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>
      <c r="A50" s="156" t="s">
        <v>701</v>
      </c>
      <c r="B50" s="157">
        <v>20</v>
      </c>
      <c r="C50" s="158" t="s">
        <v>699</v>
      </c>
      <c r="D50" s="156" t="s">
        <v>701</v>
      </c>
      <c r="E50" s="157">
        <v>18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1"/>
        <v>0.85196632717327203</v>
      </c>
      <c r="R50" s="150">
        <f t="shared" si="12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>
      <c r="A51" s="156" t="s">
        <v>702</v>
      </c>
      <c r="B51" s="157">
        <v>30</v>
      </c>
      <c r="C51" s="158" t="s">
        <v>699</v>
      </c>
      <c r="D51" s="156" t="s">
        <v>702</v>
      </c>
      <c r="E51" s="157">
        <v>26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152.45999999999998</v>
      </c>
      <c r="P51" s="198">
        <f>O51*S15/2</f>
        <v>7622.9999999999991</v>
      </c>
      <c r="Q51" s="194">
        <f t="shared" si="11"/>
        <v>0.85196632717327203</v>
      </c>
      <c r="R51" s="150">
        <f t="shared" si="12"/>
        <v>222.84240420880963</v>
      </c>
      <c r="S51" s="226">
        <f>(E57/(4000/SIN(Q51)))/((E22/3500)+(E57/(4000/SIN(Q51))))*P51</f>
        <v>3243.024243158543</v>
      </c>
      <c r="T51" s="169" t="s">
        <v>739</v>
      </c>
      <c r="U51" s="157">
        <f>E48</f>
        <v>410</v>
      </c>
      <c r="V51" s="116" t="s">
        <v>727</v>
      </c>
      <c r="W51" s="157">
        <f>E49</f>
        <v>310</v>
      </c>
      <c r="X51" s="116" t="s">
        <v>727</v>
      </c>
      <c r="Y51" s="157">
        <f>E50</f>
        <v>18</v>
      </c>
      <c r="Z51" s="116" t="s">
        <v>727</v>
      </c>
      <c r="AA51" s="157">
        <f>E51</f>
        <v>26</v>
      </c>
    </row>
    <row r="52" spans="1:27">
      <c r="A52" s="156" t="s">
        <v>703</v>
      </c>
      <c r="B52" s="62">
        <v>3.52</v>
      </c>
      <c r="C52" s="158" t="s">
        <v>718</v>
      </c>
      <c r="D52" s="156" t="s">
        <v>703</v>
      </c>
      <c r="E52" s="62">
        <v>3.52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152.45999999999998</v>
      </c>
      <c r="P52" s="198">
        <f>O52*S16/2</f>
        <v>7622.9999999999991</v>
      </c>
      <c r="Q52" s="194">
        <f t="shared" si="11"/>
        <v>0.85196632717327203</v>
      </c>
      <c r="R52" s="150">
        <f t="shared" si="12"/>
        <v>222.84240420880963</v>
      </c>
      <c r="S52" s="226">
        <f>S51</f>
        <v>3243.024243158543</v>
      </c>
      <c r="T52" s="169" t="s">
        <v>739</v>
      </c>
      <c r="U52" s="157">
        <f t="shared" ref="U52:AA52" si="13">U51</f>
        <v>410</v>
      </c>
      <c r="V52" s="116" t="str">
        <f t="shared" si="13"/>
        <v>x</v>
      </c>
      <c r="W52" s="157">
        <f t="shared" si="13"/>
        <v>310</v>
      </c>
      <c r="X52" s="116" t="str">
        <f t="shared" si="13"/>
        <v>x</v>
      </c>
      <c r="Y52" s="157">
        <f t="shared" si="13"/>
        <v>18</v>
      </c>
      <c r="Z52" s="116" t="str">
        <f t="shared" si="13"/>
        <v>x</v>
      </c>
      <c r="AA52" s="157">
        <f t="shared" si="13"/>
        <v>26</v>
      </c>
    </row>
    <row r="53" spans="1:27" ht="16.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187.65647999999999</v>
      </c>
      <c r="P53" s="198">
        <f>O53*S17/2</f>
        <v>9382.8239999999987</v>
      </c>
      <c r="Q53" s="194">
        <f t="shared" si="11"/>
        <v>0.85196632717327203</v>
      </c>
      <c r="R53" s="150">
        <f t="shared" si="12"/>
        <v>274.287164951872</v>
      </c>
      <c r="S53" s="226">
        <f>(E59/(4000/SIN(Q53)))/((E24/3500)+(E59/(4000/SIN(Q53))))*P53</f>
        <v>4164.9122953819442</v>
      </c>
      <c r="T53" s="169" t="s">
        <v>739</v>
      </c>
      <c r="U53" s="157">
        <f>B48</f>
        <v>420</v>
      </c>
      <c r="V53" s="116" t="str">
        <f>V52</f>
        <v>x</v>
      </c>
      <c r="W53" s="157">
        <f>B49</f>
        <v>320</v>
      </c>
      <c r="X53" s="116" t="str">
        <f>X52</f>
        <v>x</v>
      </c>
      <c r="Y53" s="157">
        <f>B50</f>
        <v>20</v>
      </c>
      <c r="Z53" s="116" t="str">
        <f>Z52</f>
        <v>x</v>
      </c>
      <c r="AA53" s="157">
        <f>B51</f>
        <v>30</v>
      </c>
    </row>
    <row r="54" spans="1:27" ht="16.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187.65647999999999</v>
      </c>
      <c r="P54" s="198">
        <f>O54*S18/2</f>
        <v>9382.8239999999987</v>
      </c>
      <c r="Q54" s="194">
        <f t="shared" si="11"/>
        <v>0.85196632717327203</v>
      </c>
      <c r="R54" s="150">
        <f t="shared" si="12"/>
        <v>274.287164951872</v>
      </c>
      <c r="S54" s="226">
        <f>S53</f>
        <v>4164.9122953819442</v>
      </c>
      <c r="T54" s="169" t="s">
        <v>739</v>
      </c>
      <c r="U54" s="157">
        <f>U53</f>
        <v>420</v>
      </c>
      <c r="V54" s="116" t="str">
        <f>V53</f>
        <v>x</v>
      </c>
      <c r="W54" s="157">
        <f>W53</f>
        <v>320</v>
      </c>
      <c r="X54" s="116" t="str">
        <f>X53</f>
        <v>x</v>
      </c>
      <c r="Y54" s="157">
        <f>Y53</f>
        <v>20</v>
      </c>
      <c r="Z54" s="116" t="str">
        <f>Z53</f>
        <v>x</v>
      </c>
      <c r="AA54" s="157">
        <f>AA53</f>
        <v>30</v>
      </c>
    </row>
    <row r="55" spans="1:27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>
      <c r="A56" s="163" t="s">
        <v>707</v>
      </c>
      <c r="B56" s="155">
        <f>B49*B51*2+(B48-B51-B51)*B50</f>
        <v>26400</v>
      </c>
      <c r="C56" s="93" t="s">
        <v>708</v>
      </c>
      <c r="D56" s="163" t="s">
        <v>707</v>
      </c>
      <c r="E56" s="155">
        <f>E49*E51*2+(E48-E51-E51)*E50</f>
        <v>22564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>
      <c r="A57" s="163" t="s">
        <v>709</v>
      </c>
      <c r="B57" s="155">
        <f>(B50*(B48-B51-B51)^3)/12+2*(B49*B51*B51*B51/12+B49*B51*(B48*0.5-0.5*B51)^2)</f>
        <v>809280000</v>
      </c>
      <c r="C57" s="93" t="s">
        <v>710</v>
      </c>
      <c r="D57" s="163" t="s">
        <v>709</v>
      </c>
      <c r="E57" s="155">
        <f>(E50*(E48-E51-E51)^3)/12+2*(E49*E51*E51*E51/12+E49*E51*(E48*0.5-0.5*E51)^2)</f>
        <v>663979841.33333337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>
      <c r="A58" s="163" t="s">
        <v>711</v>
      </c>
      <c r="B58" s="155">
        <f>(B48-B51-B51)*B50*B50*B50/12+B51*B49*B49*B49*2/12</f>
        <v>164080000</v>
      </c>
      <c r="C58" s="93" t="s">
        <v>710</v>
      </c>
      <c r="D58" s="163" t="s">
        <v>711</v>
      </c>
      <c r="E58" s="155">
        <f>(E48-E51-E51)*E50*E50*E50/12+E51*E49*E49*E49*2/12</f>
        <v>129268321.33333333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4">IF(R49/(0.85*P58)&gt;=0.2,R49/(0.85*P58)+8*S49/(9*0.9*Q58),R49/(0.85*P58)+S49/(0.9*Q58))</f>
        <v>#DIV/0!</v>
      </c>
      <c r="S58" s="217" t="e">
        <f t="shared" ref="S58:S63" si="15">IF(R58&lt;1,"OK","NG")</f>
        <v>#DIV/0!</v>
      </c>
    </row>
    <row r="59" spans="1:27" ht="18">
      <c r="A59" s="163" t="s">
        <v>712</v>
      </c>
      <c r="B59" s="155">
        <f>(B48-B51-B51)*B50*B50*B50/3+B49*B51*B51*B51/3*2</f>
        <v>6720000</v>
      </c>
      <c r="C59" s="93" t="s">
        <v>710</v>
      </c>
      <c r="D59" s="163" t="s">
        <v>712</v>
      </c>
      <c r="E59" s="155">
        <f>(E48-E51-E51)*E50*E50*E50/3+E49*E51*E51*E51/3*2</f>
        <v>4328325.333333334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4"/>
        <v>#DIV/0!</v>
      </c>
      <c r="S59" s="217" t="e">
        <f t="shared" si="15"/>
        <v>#DIV/0!</v>
      </c>
    </row>
    <row r="60" spans="1:27" ht="18">
      <c r="A60" s="163" t="s">
        <v>713</v>
      </c>
      <c r="B60" s="155">
        <f>B57/(B48/2)</f>
        <v>3853714.2857142859</v>
      </c>
      <c r="C60" s="93" t="s">
        <v>714</v>
      </c>
      <c r="D60" s="163" t="s">
        <v>713</v>
      </c>
      <c r="E60" s="155">
        <f>E57/(E48/2)</f>
        <v>3238926.0552845532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0.44114125341691346</v>
      </c>
      <c r="P60" s="150">
        <f>IF(O60&lt;=1.5,(0.658^(O60*O60))*E52*E56/100,0.877/O60/O60*E52*E56/100)</f>
        <v>732.12374824886638</v>
      </c>
      <c r="Q60" s="150">
        <f>IF(AND(E66&lt;E68,E69&lt;E71),E64,0)</f>
        <v>12924.65856</v>
      </c>
      <c r="R60" s="228">
        <f t="shared" si="14"/>
        <v>0.60591167913620059</v>
      </c>
      <c r="S60" s="217" t="str">
        <f t="shared" si="15"/>
        <v>OK</v>
      </c>
    </row>
    <row r="61" spans="1:27" ht="18">
      <c r="A61" s="163" t="s">
        <v>715</v>
      </c>
      <c r="B61" s="155">
        <f>B58/(B49/2)</f>
        <v>1025500</v>
      </c>
      <c r="C61" s="93" t="s">
        <v>714</v>
      </c>
      <c r="D61" s="163" t="s">
        <v>715</v>
      </c>
      <c r="E61" s="155">
        <f>E58/(E49/2)</f>
        <v>833989.16989247303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0.44114125341691346</v>
      </c>
      <c r="P61" s="150">
        <f>IF(O61&lt;=1.5,(0.658^(O61*O61))*E52*E56/100,0.877/O61/O61*E52*E56/100)</f>
        <v>732.12374824886638</v>
      </c>
      <c r="Q61" s="150">
        <f>IF(AND(E66&lt;E68,E69&lt;E71),E64,0)</f>
        <v>12924.65856</v>
      </c>
      <c r="R61" s="228">
        <f t="shared" si="14"/>
        <v>0.60591167913620059</v>
      </c>
      <c r="S61" s="217" t="str">
        <f t="shared" si="15"/>
        <v>OK</v>
      </c>
    </row>
    <row r="62" spans="1:27" ht="18">
      <c r="A62" s="163" t="s">
        <v>716</v>
      </c>
      <c r="B62" s="155">
        <f>B49*B48*B48*0.25-(B49-B50)*((B48-2*B51)^2)*0.25</f>
        <v>4392000</v>
      </c>
      <c r="C62" s="93" t="s">
        <v>714</v>
      </c>
      <c r="D62" s="163" t="s">
        <v>716</v>
      </c>
      <c r="E62" s="155">
        <f>E49*E48*E48*0.25-(E49-E50)*(E48-2*E51)^2*0.25</f>
        <v>3671778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0.42353550353218927</v>
      </c>
      <c r="P62" s="150">
        <f>IF(O62&lt;=1.5,(0.658^(O62*O62))*B52*B56/100,0.877/O62/O62*B52*B56/100)</f>
        <v>862.06403910115375</v>
      </c>
      <c r="Q62" s="150">
        <f>IF(AND(B66&lt;B68,B69&lt;B71),B64,0)</f>
        <v>15459.84</v>
      </c>
      <c r="R62" s="228">
        <f t="shared" si="14"/>
        <v>0.64039952661701893</v>
      </c>
      <c r="S62" s="217" t="str">
        <f t="shared" si="15"/>
        <v>OK</v>
      </c>
    </row>
    <row r="63" spans="1:27" ht="18.75" thickBot="1">
      <c r="A63" s="165" t="s">
        <v>717</v>
      </c>
      <c r="B63" s="146">
        <f>B51*B49*B49*0.25*2+(B48-2*B51)*B50*B50*0.25</f>
        <v>1572000</v>
      </c>
      <c r="C63" s="166" t="s">
        <v>714</v>
      </c>
      <c r="D63" s="165" t="s">
        <v>717</v>
      </c>
      <c r="E63" s="146">
        <f>E51*E49*E49*0.25*2+(E48-2*E51)*E50*E50*0.25</f>
        <v>1278298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0.42353550353218927</v>
      </c>
      <c r="P63" s="150">
        <f>IF(O63&lt;=1.5,(0.658^(O63*O63))*B52*B56/100,0.877/O63/O63*B52*B56/100)</f>
        <v>862.06403910115375</v>
      </c>
      <c r="Q63" s="150">
        <f>IF(AND(B66&lt;B68,B69&lt;B71),B64,0)</f>
        <v>15459.84</v>
      </c>
      <c r="R63" s="228">
        <f t="shared" si="14"/>
        <v>0.64039952661701893</v>
      </c>
      <c r="S63" s="217" t="str">
        <f t="shared" si="15"/>
        <v>OK</v>
      </c>
    </row>
    <row r="64" spans="1:27" ht="16.5">
      <c r="A64" s="167" t="s">
        <v>719</v>
      </c>
      <c r="B64" s="168">
        <f>B62*B52/1000</f>
        <v>15459.84</v>
      </c>
      <c r="C64" s="99" t="s">
        <v>721</v>
      </c>
      <c r="D64" s="167" t="s">
        <v>719</v>
      </c>
      <c r="E64" s="168">
        <f>E62*E52/1000</f>
        <v>12924.65856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1042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>
      <c r="A65" s="165" t="s">
        <v>720</v>
      </c>
      <c r="B65" s="146">
        <f>0.6*(B48-B51-B51)*B50*B52/10/10</f>
        <v>152.06399999999999</v>
      </c>
      <c r="C65" s="166" t="s">
        <v>722</v>
      </c>
      <c r="D65" s="165" t="s">
        <v>720</v>
      </c>
      <c r="E65" s="146">
        <f>0.6*(E48-E51-E51)*E50*E52/10/10</f>
        <v>136.09728000000001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>
      <c r="A66" s="205" t="s">
        <v>745</v>
      </c>
      <c r="B66" s="168">
        <f>B49*0.5/B51</f>
        <v>5.333333333333333</v>
      </c>
      <c r="C66" s="168"/>
      <c r="D66" s="204" t="s">
        <v>745</v>
      </c>
      <c r="E66" s="168">
        <f>E49*0.5/E51</f>
        <v>5.9615384615384617</v>
      </c>
      <c r="F66" s="99"/>
      <c r="G66" s="168" t="s">
        <v>745</v>
      </c>
      <c r="H66" s="168" t="e">
        <f>H49*0.5/H51</f>
        <v>#DIV/0!</v>
      </c>
      <c r="I66" s="99"/>
      <c r="O66" s="294" t="s">
        <v>976</v>
      </c>
      <c r="P66" s="294" t="s">
        <v>973</v>
      </c>
      <c r="Q66" s="294"/>
      <c r="U66" s="62"/>
      <c r="V66" s="62"/>
      <c r="W66" s="62"/>
      <c r="X66" s="62"/>
      <c r="Y66" s="62"/>
      <c r="Z66" s="62"/>
    </row>
    <row r="67" spans="1:29">
      <c r="A67" s="163" t="s">
        <v>746</v>
      </c>
      <c r="B67" s="174">
        <f>25/SQRT(B52)</f>
        <v>13.325044772225652</v>
      </c>
      <c r="C67" s="174"/>
      <c r="D67" s="174" t="s">
        <v>746</v>
      </c>
      <c r="E67" s="174">
        <f>25/SQRT(E52)</f>
        <v>13.325044772225652</v>
      </c>
      <c r="F67" s="93"/>
      <c r="G67" s="174" t="s">
        <v>746</v>
      </c>
      <c r="H67" s="174">
        <f>25/SQRT(H52)</f>
        <v>13.325044772225652</v>
      </c>
      <c r="I67" s="93"/>
      <c r="O67" s="294"/>
      <c r="P67" s="294"/>
      <c r="Q67" s="294"/>
      <c r="U67" s="62"/>
      <c r="V67" s="62"/>
      <c r="W67" s="62"/>
      <c r="X67" s="62"/>
      <c r="Y67" s="62"/>
      <c r="Z67" s="62"/>
    </row>
    <row r="68" spans="1:29">
      <c r="A68" s="200" t="s">
        <v>747</v>
      </c>
      <c r="B68" s="174">
        <f>16/SQRT(B52)</f>
        <v>8.5280286542244177</v>
      </c>
      <c r="C68" s="174"/>
      <c r="D68" s="199" t="s">
        <v>747</v>
      </c>
      <c r="E68" s="174">
        <f>16/SQRT(E52)</f>
        <v>8.5280286542244177</v>
      </c>
      <c r="F68" s="93"/>
      <c r="G68" s="174" t="s">
        <v>747</v>
      </c>
      <c r="H68" s="174">
        <f>16/SQRT(H52)</f>
        <v>8.5280286542244177</v>
      </c>
      <c r="I68" s="93"/>
      <c r="O68" s="294" t="s">
        <v>977</v>
      </c>
      <c r="P68" s="294" t="s">
        <v>974</v>
      </c>
      <c r="Q68" s="294"/>
      <c r="U68" s="62"/>
      <c r="V68" s="62"/>
      <c r="W68" s="62"/>
      <c r="X68" s="62"/>
      <c r="Y68" s="62"/>
      <c r="Z68" s="62"/>
    </row>
    <row r="69" spans="1:29">
      <c r="A69" s="200" t="s">
        <v>748</v>
      </c>
      <c r="B69" s="174">
        <f>(B48-B51-B51)/B50</f>
        <v>18</v>
      </c>
      <c r="C69" s="174"/>
      <c r="D69" s="199" t="s">
        <v>748</v>
      </c>
      <c r="E69" s="174">
        <f>(E48-E51-E51)/E50</f>
        <v>19.888888888888889</v>
      </c>
      <c r="F69" s="93"/>
      <c r="G69" s="174" t="s">
        <v>748</v>
      </c>
      <c r="H69" s="174" t="e">
        <f>(H48-H51-H51)/H50</f>
        <v>#DIV/0!</v>
      </c>
      <c r="I69" s="93"/>
      <c r="O69" s="294"/>
      <c r="P69" s="294"/>
      <c r="Q69" s="294"/>
    </row>
    <row r="70" spans="1:29">
      <c r="A70" s="163" t="s">
        <v>749</v>
      </c>
      <c r="B70" s="174">
        <f>260/SQRT(B52)</f>
        <v>138.58046563114678</v>
      </c>
      <c r="C70" s="174"/>
      <c r="D70" s="174" t="s">
        <v>749</v>
      </c>
      <c r="E70" s="174">
        <f>260/SQRT(E52)</f>
        <v>138.58046563114678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>
      <c r="A71" s="202" t="s">
        <v>750</v>
      </c>
      <c r="B71" s="94">
        <f>170/SQRT(B52)</f>
        <v>90.610304451134425</v>
      </c>
      <c r="C71" s="94"/>
      <c r="D71" s="201" t="s">
        <v>750</v>
      </c>
      <c r="E71" s="94">
        <f>170/SQRT(E52)</f>
        <v>90.610304451134425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/>
    <row r="75" spans="1:29" s="173" customFormat="1"/>
    <row r="76" spans="1:29" ht="16.5" thickBot="1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>
      <c r="A77" s="298" t="s">
        <v>834</v>
      </c>
      <c r="B77" s="299"/>
      <c r="C77" s="300"/>
      <c r="D77" s="298" t="s">
        <v>827</v>
      </c>
      <c r="E77" s="299"/>
      <c r="F77" s="300"/>
      <c r="G77" s="298" t="s">
        <v>826</v>
      </c>
      <c r="H77" s="299"/>
      <c r="I77" s="300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>
      <c r="A78" s="156" t="s">
        <v>698</v>
      </c>
      <c r="B78" s="157">
        <v>700</v>
      </c>
      <c r="C78" s="158" t="s">
        <v>699</v>
      </c>
      <c r="D78" s="156" t="s">
        <v>698</v>
      </c>
      <c r="E78" s="157">
        <v>480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304" t="s">
        <v>726</v>
      </c>
      <c r="T78" s="305"/>
      <c r="U78" s="305"/>
      <c r="V78" s="305"/>
      <c r="W78" s="305"/>
      <c r="X78" s="305"/>
      <c r="Y78" s="305"/>
      <c r="Z78" s="306"/>
      <c r="AA78" s="173"/>
    </row>
    <row r="79" spans="1:29">
      <c r="A79" s="156" t="s">
        <v>700</v>
      </c>
      <c r="B79" s="157">
        <v>300</v>
      </c>
      <c r="C79" s="158" t="s">
        <v>699</v>
      </c>
      <c r="D79" s="156" t="s">
        <v>700</v>
      </c>
      <c r="E79" s="157">
        <v>300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6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>
      <c r="A80" s="156" t="s">
        <v>701</v>
      </c>
      <c r="B80" s="157">
        <v>15</v>
      </c>
      <c r="C80" s="158" t="s">
        <v>699</v>
      </c>
      <c r="D80" s="156" t="s">
        <v>701</v>
      </c>
      <c r="E80" s="157">
        <v>10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6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>
      <c r="A81" s="156" t="s">
        <v>702</v>
      </c>
      <c r="B81" s="157">
        <v>25</v>
      </c>
      <c r="C81" s="158" t="s">
        <v>699</v>
      </c>
      <c r="D81" s="156" t="s">
        <v>702</v>
      </c>
      <c r="E81" s="157">
        <v>20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134.16480000000001</v>
      </c>
      <c r="P81" s="150">
        <f>1.1*O81/SIN(Q51)</f>
        <v>196.1013157037525</v>
      </c>
      <c r="Q81" s="177">
        <f t="shared" si="16"/>
        <v>0.85196632717327203</v>
      </c>
      <c r="R81" s="174">
        <f>(O81+O80+O79)-P81*SIN(Q81)</f>
        <v>-13.416480000000007</v>
      </c>
      <c r="S81" s="169" t="s">
        <v>739</v>
      </c>
      <c r="T81" s="157">
        <f>E78</f>
        <v>480</v>
      </c>
      <c r="U81" s="116" t="s">
        <v>727</v>
      </c>
      <c r="V81" s="157">
        <f>E79</f>
        <v>300</v>
      </c>
      <c r="W81" s="116" t="s">
        <v>727</v>
      </c>
      <c r="X81" s="157">
        <f>E80</f>
        <v>10</v>
      </c>
      <c r="Y81" s="116" t="s">
        <v>727</v>
      </c>
      <c r="Z81" s="157">
        <f>E81</f>
        <v>20</v>
      </c>
      <c r="AA81" s="176"/>
    </row>
    <row r="82" spans="1:29">
      <c r="A82" s="156" t="s">
        <v>703</v>
      </c>
      <c r="B82" s="62">
        <v>3.52</v>
      </c>
      <c r="C82" s="158" t="s">
        <v>718</v>
      </c>
      <c r="D82" s="156" t="s">
        <v>703</v>
      </c>
      <c r="E82" s="62">
        <v>3.52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134.16480000000001</v>
      </c>
      <c r="P82" s="150">
        <f>1.1*O82/SIN(Q52)</f>
        <v>196.1013157037525</v>
      </c>
      <c r="Q82" s="177">
        <f t="shared" si="16"/>
        <v>0.85196632717327203</v>
      </c>
      <c r="R82" s="174">
        <f>(O82+O81+O80+O79)-P82*SIN(Q82)</f>
        <v>120.74832000000001</v>
      </c>
      <c r="S82" s="169" t="s">
        <v>739</v>
      </c>
      <c r="T82" s="157">
        <f t="shared" ref="T82:Z82" si="17">T81</f>
        <v>480</v>
      </c>
      <c r="U82" s="116" t="str">
        <f t="shared" si="17"/>
        <v>x</v>
      </c>
      <c r="V82" s="157">
        <f t="shared" si="17"/>
        <v>300</v>
      </c>
      <c r="W82" s="116" t="str">
        <f t="shared" si="17"/>
        <v>x</v>
      </c>
      <c r="X82" s="157">
        <f t="shared" si="17"/>
        <v>10</v>
      </c>
      <c r="Y82" s="116" t="str">
        <f t="shared" si="17"/>
        <v>x</v>
      </c>
      <c r="Z82" s="157">
        <f t="shared" si="17"/>
        <v>20</v>
      </c>
      <c r="AA82" s="176"/>
    </row>
    <row r="83" spans="1:29" ht="16.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165.13770240000002</v>
      </c>
      <c r="P83" s="150">
        <f>1.1*O83/SIN(Q53)</f>
        <v>241.3727051576474</v>
      </c>
      <c r="Q83" s="177">
        <f t="shared" si="16"/>
        <v>0.85196632717327203</v>
      </c>
      <c r="R83" s="174">
        <f>(O83+O82+O81+O80+O79)-P83*SIN(Q83)</f>
        <v>251.81582976000001</v>
      </c>
      <c r="S83" s="169" t="s">
        <v>739</v>
      </c>
      <c r="T83" s="157">
        <f>B78</f>
        <v>700</v>
      </c>
      <c r="U83" s="116" t="str">
        <f>U82</f>
        <v>x</v>
      </c>
      <c r="V83" s="157">
        <f>B79</f>
        <v>300</v>
      </c>
      <c r="W83" s="116" t="str">
        <f>W82</f>
        <v>x</v>
      </c>
      <c r="X83" s="157">
        <f>B80</f>
        <v>15</v>
      </c>
      <c r="Y83" s="116" t="str">
        <f>Y82</f>
        <v>x</v>
      </c>
      <c r="Z83" s="157">
        <f>B81</f>
        <v>25</v>
      </c>
      <c r="AA83" s="176"/>
    </row>
    <row r="84" spans="1:29" ht="16.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165.13770240000002</v>
      </c>
      <c r="P84" s="150">
        <f>1.1*O84/SIN(Q54)</f>
        <v>241.3727051576474</v>
      </c>
      <c r="Q84" s="177">
        <f t="shared" si="16"/>
        <v>0.85196632717327203</v>
      </c>
      <c r="R84" s="174">
        <f>(O84+O83+O82+O81+O80+O79)-P84*SIN(Q84)</f>
        <v>416.95353216000001</v>
      </c>
      <c r="S84" s="169" t="s">
        <v>739</v>
      </c>
      <c r="T84" s="157">
        <f>T83</f>
        <v>700</v>
      </c>
      <c r="U84" s="116" t="str">
        <f>U83</f>
        <v>x</v>
      </c>
      <c r="V84" s="157">
        <f>V83</f>
        <v>300</v>
      </c>
      <c r="W84" s="116" t="str">
        <f>W83</f>
        <v>x</v>
      </c>
      <c r="X84" s="157">
        <f>X83</f>
        <v>15</v>
      </c>
      <c r="Y84" s="116" t="str">
        <f>Y83</f>
        <v>x</v>
      </c>
      <c r="Z84" s="157">
        <f>Z83</f>
        <v>25</v>
      </c>
      <c r="AA84" s="176"/>
    </row>
    <row r="85" spans="1:29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>
      <c r="A86" s="163" t="s">
        <v>707</v>
      </c>
      <c r="B86" s="174">
        <f>B79*B81*2+(B78-B81-B81)*B80</f>
        <v>24750</v>
      </c>
      <c r="C86" s="93" t="s">
        <v>708</v>
      </c>
      <c r="D86" s="163" t="s">
        <v>707</v>
      </c>
      <c r="E86" s="174">
        <f>E79*E81*2+(E78-E81-E81)*E80</f>
        <v>16400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>
      <c r="A87" s="163" t="s">
        <v>709</v>
      </c>
      <c r="B87" s="174">
        <f>(B80*(B78-B81-B81)^3)/12+2*(B79*B81*B81*B81/12+B79*B81*(B78*0.5-0.5*B81)^2)</f>
        <v>2052656250</v>
      </c>
      <c r="C87" s="93" t="s">
        <v>710</v>
      </c>
      <c r="D87" s="163" t="s">
        <v>709</v>
      </c>
      <c r="E87" s="174">
        <f>(E80*(E78-E81-E81)^3)/12+2*(E79*E81*E81*E81/12+E79*E81*(E78*0.5-0.5*E81)^2)</f>
        <v>706186666.66666663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>
      <c r="A88" s="163" t="s">
        <v>711</v>
      </c>
      <c r="B88" s="174">
        <f>(B78-B81-B81)*B80*B80*B80/12+B81*B79*B79*B79*2/12</f>
        <v>112682812.5</v>
      </c>
      <c r="C88" s="93" t="s">
        <v>710</v>
      </c>
      <c r="D88" s="163" t="s">
        <v>711</v>
      </c>
      <c r="E88" s="174">
        <f>(E78-E81-E81)*E80*E80*E80/12+E81*E79*E79*E79*2/12</f>
        <v>90036666.666666672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>
      <c r="A89" s="163" t="s">
        <v>712</v>
      </c>
      <c r="B89" s="174">
        <f>(B78-B81-B81)*B80*B80*B80/3+B79*B81*B81*B81/3*2</f>
        <v>3856250</v>
      </c>
      <c r="C89" s="93" t="s">
        <v>710</v>
      </c>
      <c r="D89" s="163" t="s">
        <v>712</v>
      </c>
      <c r="E89" s="174">
        <f>(E78-E81-E81)*E80*E80*E80/3+E79*E81*E81*E81/3*2</f>
        <v>1746666.6666666667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18">P89</f>
        <v>451.13852203583718</v>
      </c>
      <c r="S89" s="222">
        <f t="shared" ref="S89:S94" si="19">R79/0.85/R89</f>
        <v>0</v>
      </c>
      <c r="T89" s="228" t="str">
        <f t="shared" ref="T89:T94" si="20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>
      <c r="A90" s="163" t="s">
        <v>713</v>
      </c>
      <c r="B90" s="174">
        <f>B87/(B78/2)</f>
        <v>5864732.1428571427</v>
      </c>
      <c r="C90" s="93" t="s">
        <v>714</v>
      </c>
      <c r="D90" s="163" t="s">
        <v>713</v>
      </c>
      <c r="E90" s="174">
        <f>E87/(E78/2)</f>
        <v>2942444.4444444445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18"/>
        <v>451.13852203583718</v>
      </c>
      <c r="S90" s="222">
        <f t="shared" si="19"/>
        <v>0</v>
      </c>
      <c r="T90" s="228" t="str">
        <f t="shared" si="20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>
      <c r="A91" s="163" t="s">
        <v>715</v>
      </c>
      <c r="B91" s="174">
        <f>B88/(B79/2)</f>
        <v>751218.75</v>
      </c>
      <c r="C91" s="93" t="s">
        <v>714</v>
      </c>
      <c r="D91" s="163" t="s">
        <v>715</v>
      </c>
      <c r="E91" s="174">
        <f>E88/(E79/2)</f>
        <v>600244.4444444445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0.16938789170739266</v>
      </c>
      <c r="P91" s="150">
        <f>IF(O91&lt;=1.5,(0.658^(O91*O91))*E82*E86/100,0.877/O91/O91*E82*E86/100)</f>
        <v>570.38881675196239</v>
      </c>
      <c r="Q91" s="174">
        <f>IF(AND(E96&lt;E98,E99&lt;E101),E94,0)</f>
        <v>11418.88</v>
      </c>
      <c r="R91" s="174">
        <f t="shared" si="18"/>
        <v>570.38881675196239</v>
      </c>
      <c r="S91" s="253">
        <f t="shared" si="19"/>
        <v>-2.7672516806217278E-2</v>
      </c>
      <c r="T91" s="228" t="str">
        <f t="shared" si="20"/>
        <v>OK</v>
      </c>
    </row>
    <row r="92" spans="1:29" ht="18">
      <c r="A92" s="163" t="s">
        <v>716</v>
      </c>
      <c r="B92" s="174">
        <f>B79*B78*B78*0.25-(B79-B80)*((B78-2*B81)^2)*0.25</f>
        <v>6646875</v>
      </c>
      <c r="C92" s="93" t="s">
        <v>714</v>
      </c>
      <c r="D92" s="163" t="s">
        <v>716</v>
      </c>
      <c r="E92" s="174">
        <f>E79*E78*E78*0.25-(E79-E80)*(E78-2*E81)^2*0.25</f>
        <v>3244000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0.16938789170739266</v>
      </c>
      <c r="P92" s="150">
        <f>IF(O92&lt;=1.5,(0.658^(O92*O92))*E82*E86/100,0.877/O92/O92*E82*E86/100)</f>
        <v>570.38881675196239</v>
      </c>
      <c r="Q92" s="174">
        <f>Q91</f>
        <v>11418.88</v>
      </c>
      <c r="R92" s="174">
        <f t="shared" si="18"/>
        <v>570.38881675196239</v>
      </c>
      <c r="S92" s="228">
        <f t="shared" si="19"/>
        <v>0.24905265125595538</v>
      </c>
      <c r="T92" s="228" t="str">
        <f t="shared" si="20"/>
        <v>OK</v>
      </c>
    </row>
    <row r="93" spans="1:29" ht="18.75" thickBot="1">
      <c r="A93" s="165" t="s">
        <v>717</v>
      </c>
      <c r="B93" s="146">
        <f>B81*B79*B79*0.25*2+(B78-2*B81)*B80*B80*0.25</f>
        <v>1161562.5</v>
      </c>
      <c r="C93" s="166" t="s">
        <v>714</v>
      </c>
      <c r="D93" s="165" t="s">
        <v>717</v>
      </c>
      <c r="E93" s="146">
        <f>E81*E79*E79*0.25*2+(E78-2*E81)*E80*E80*0.25</f>
        <v>911000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0.12205334437474112</v>
      </c>
      <c r="P93" s="150">
        <f>IF(O93&lt;=1.5,(0.658^(O93*O93))*B82*B86/100,0.877/O93/O93*B82*B86/100)</f>
        <v>865.78483493802423</v>
      </c>
      <c r="Q93" s="174">
        <f>IF(AND(B96&lt;B98,B99&lt;B101),B94,0)</f>
        <v>23397</v>
      </c>
      <c r="R93" s="174">
        <f t="shared" si="18"/>
        <v>865.78483493802423</v>
      </c>
      <c r="S93" s="228">
        <f t="shared" si="19"/>
        <v>0.34217961023296595</v>
      </c>
      <c r="T93" s="228" t="str">
        <f t="shared" si="20"/>
        <v>OK</v>
      </c>
    </row>
    <row r="94" spans="1:29">
      <c r="A94" s="167" t="s">
        <v>719</v>
      </c>
      <c r="B94" s="168">
        <f>B92*B82/1000</f>
        <v>23397</v>
      </c>
      <c r="C94" s="99" t="s">
        <v>721</v>
      </c>
      <c r="D94" s="167" t="s">
        <v>719</v>
      </c>
      <c r="E94" s="168">
        <f>E92*E82/1000</f>
        <v>11418.88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0.12205334437474112</v>
      </c>
      <c r="P94" s="150">
        <f>IF(O94&lt;=1.5,(0.658^(O94*O94))*B82*B86/100,0.877/O94/O94*B82*B86/100)</f>
        <v>865.78483493802423</v>
      </c>
      <c r="Q94" s="174">
        <f>Q93</f>
        <v>23397</v>
      </c>
      <c r="R94" s="174">
        <f t="shared" si="18"/>
        <v>865.78483493802423</v>
      </c>
      <c r="S94" s="228">
        <f t="shared" si="19"/>
        <v>0.56657676070541574</v>
      </c>
      <c r="T94" s="228" t="str">
        <f t="shared" si="20"/>
        <v>OK</v>
      </c>
    </row>
    <row r="95" spans="1:29" ht="17.25" thickBot="1">
      <c r="A95" s="165" t="s">
        <v>720</v>
      </c>
      <c r="B95" s="146">
        <f>0.6*(B78-B81-B81)*B80*B82/10/10</f>
        <v>205.92</v>
      </c>
      <c r="C95" s="166" t="s">
        <v>722</v>
      </c>
      <c r="D95" s="165" t="s">
        <v>720</v>
      </c>
      <c r="E95" s="146">
        <f>0.6*(E78-E81-E81)*E80*E82/10/10</f>
        <v>92.927999999999997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1042</v>
      </c>
      <c r="O95" s="238">
        <v>400</v>
      </c>
    </row>
    <row r="96" spans="1:29">
      <c r="A96" s="205" t="s">
        <v>745</v>
      </c>
      <c r="B96" s="168">
        <f>B79*0.5/B81</f>
        <v>6</v>
      </c>
      <c r="C96" s="168"/>
      <c r="D96" s="204" t="s">
        <v>745</v>
      </c>
      <c r="E96" s="168">
        <f>E79*0.5/E81</f>
        <v>7.5</v>
      </c>
      <c r="F96" s="99"/>
      <c r="G96" s="168" t="s">
        <v>745</v>
      </c>
      <c r="H96" s="168">
        <f>H79*0.5/H81</f>
        <v>9.9666666666666668</v>
      </c>
      <c r="I96" s="99"/>
    </row>
    <row r="97" spans="1:17">
      <c r="A97" s="163" t="s">
        <v>746</v>
      </c>
      <c r="B97" s="174">
        <f>25/SQRT(B82)</f>
        <v>13.325044772225652</v>
      </c>
      <c r="C97" s="174"/>
      <c r="D97" s="174" t="s">
        <v>746</v>
      </c>
      <c r="E97" s="174">
        <f>25/SQRT(E82)</f>
        <v>13.325044772225652</v>
      </c>
      <c r="F97" s="93"/>
      <c r="G97" s="174" t="s">
        <v>746</v>
      </c>
      <c r="H97" s="174">
        <f>25/SQRT(H82)</f>
        <v>13.325044772225652</v>
      </c>
      <c r="I97" s="93"/>
      <c r="O97" s="294" t="s">
        <v>976</v>
      </c>
      <c r="P97" s="294" t="s">
        <v>973</v>
      </c>
      <c r="Q97" s="294"/>
    </row>
    <row r="98" spans="1:17">
      <c r="A98" s="200" t="s">
        <v>747</v>
      </c>
      <c r="B98" s="174">
        <f>16/SQRT(B82)</f>
        <v>8.5280286542244177</v>
      </c>
      <c r="C98" s="174"/>
      <c r="D98" s="199" t="s">
        <v>747</v>
      </c>
      <c r="E98" s="174">
        <f>16/SQRT(E82)</f>
        <v>8.5280286542244177</v>
      </c>
      <c r="F98" s="93"/>
      <c r="G98" s="174" t="s">
        <v>747</v>
      </c>
      <c r="H98" s="174">
        <f>16/SQRT(H82)</f>
        <v>8.5280286542244177</v>
      </c>
      <c r="I98" s="93"/>
      <c r="O98" s="294"/>
      <c r="P98" s="294"/>
      <c r="Q98" s="294"/>
    </row>
    <row r="99" spans="1:17">
      <c r="A99" s="200" t="s">
        <v>748</v>
      </c>
      <c r="B99" s="174">
        <f>(B78-B81-B81)/B80</f>
        <v>43.333333333333336</v>
      </c>
      <c r="C99" s="174"/>
      <c r="D99" s="199" t="s">
        <v>748</v>
      </c>
      <c r="E99" s="174">
        <f>(E78-E81-E81)/E80</f>
        <v>44</v>
      </c>
      <c r="F99" s="93"/>
      <c r="G99" s="174" t="s">
        <v>748</v>
      </c>
      <c r="H99" s="174">
        <f>(H78-H81-H81)/H80</f>
        <v>40.4</v>
      </c>
      <c r="I99" s="93"/>
      <c r="O99" s="294" t="s">
        <v>977</v>
      </c>
      <c r="P99" s="294" t="s">
        <v>974</v>
      </c>
      <c r="Q99" s="294"/>
    </row>
    <row r="100" spans="1:17">
      <c r="A100" s="163" t="s">
        <v>749</v>
      </c>
      <c r="B100" s="174">
        <f>260/SQRT(B82)</f>
        <v>138.58046563114678</v>
      </c>
      <c r="C100" s="174"/>
      <c r="D100" s="174" t="s">
        <v>749</v>
      </c>
      <c r="E100" s="174">
        <f>260/SQRT(E82)</f>
        <v>138.58046563114678</v>
      </c>
      <c r="F100" s="93"/>
      <c r="G100" s="174" t="s">
        <v>749</v>
      </c>
      <c r="H100" s="174">
        <f>260/SQRT(H82)</f>
        <v>138.58046563114678</v>
      </c>
      <c r="I100" s="93"/>
      <c r="O100" s="294"/>
      <c r="P100" s="294"/>
      <c r="Q100" s="294"/>
    </row>
    <row r="101" spans="1:17" ht="16.5" thickBot="1">
      <c r="A101" s="202" t="s">
        <v>750</v>
      </c>
      <c r="B101" s="94">
        <f>170/SQRT(B82)</f>
        <v>90.610304451134425</v>
      </c>
      <c r="C101" s="94"/>
      <c r="D101" s="201" t="s">
        <v>750</v>
      </c>
      <c r="E101" s="94">
        <f>170/SQRT(E82)</f>
        <v>90.610304451134425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>
      <c r="O102" s="215" t="s">
        <v>990</v>
      </c>
      <c r="P102" s="173"/>
      <c r="Q102" s="173"/>
    </row>
  </sheetData>
  <mergeCells count="28"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  <mergeCell ref="T5:U5"/>
    <mergeCell ref="T6:U6"/>
    <mergeCell ref="O38:O39"/>
    <mergeCell ref="P38:Q39"/>
    <mergeCell ref="U10:V11"/>
    <mergeCell ref="U12:V12"/>
    <mergeCell ref="O97:O98"/>
    <mergeCell ref="P97:Q98"/>
    <mergeCell ref="O99:O100"/>
    <mergeCell ref="P99:Q100"/>
    <mergeCell ref="O66:O67"/>
    <mergeCell ref="P66:Q67"/>
    <mergeCell ref="O68:O69"/>
    <mergeCell ref="P68:Q69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opLeftCell="A34" zoomScale="80" zoomScaleNormal="80" workbookViewId="0">
      <selection activeCell="B75" sqref="B75"/>
    </sheetView>
  </sheetViews>
  <sheetFormatPr defaultColWidth="9" defaultRowHeight="15.7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1044</v>
      </c>
      <c r="H1" s="242" t="s">
        <v>935</v>
      </c>
      <c r="J1" s="176" t="s">
        <v>1037</v>
      </c>
      <c r="K1" s="176"/>
      <c r="L1" s="176"/>
    </row>
    <row r="2" spans="1:22" ht="16.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7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1.1000000000000001</v>
      </c>
    </row>
    <row r="4" spans="1:22" ht="16.5">
      <c r="A4" s="174" t="s">
        <v>837</v>
      </c>
      <c r="B4" s="237">
        <v>262.38</v>
      </c>
      <c r="C4" s="177">
        <f>C3+B4</f>
        <v>262.38</v>
      </c>
      <c r="D4" s="177">
        <f t="shared" si="0"/>
        <v>65.594999999999999</v>
      </c>
      <c r="E4" s="177">
        <f>D4/COS(G4)/2</f>
        <v>46.382669311931579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>
      <c r="A5" s="174" t="s">
        <v>836</v>
      </c>
      <c r="B5" s="237">
        <v>211.78</v>
      </c>
      <c r="C5" s="177">
        <f>C4+B5</f>
        <v>474.15999999999997</v>
      </c>
      <c r="D5" s="177">
        <f t="shared" si="0"/>
        <v>118.53999999999999</v>
      </c>
      <c r="E5" s="177">
        <f t="shared" si="1"/>
        <v>83.820437841853334</v>
      </c>
      <c r="G5" s="239">
        <f t="shared" si="2"/>
        <v>0.78539816339744828</v>
      </c>
      <c r="H5" s="210">
        <v>1.5</v>
      </c>
      <c r="J5" s="173" t="s">
        <v>760</v>
      </c>
      <c r="K5" s="173">
        <v>3.52</v>
      </c>
      <c r="L5" s="173" t="s">
        <v>942</v>
      </c>
    </row>
    <row r="6" spans="1:22" ht="16.5">
      <c r="A6" s="174" t="s">
        <v>814</v>
      </c>
      <c r="B6" s="237">
        <v>141.19</v>
      </c>
      <c r="C6" s="177">
        <f>C5+B6</f>
        <v>615.34999999999991</v>
      </c>
      <c r="D6" s="177">
        <f t="shared" si="0"/>
        <v>153.83749999999998</v>
      </c>
      <c r="E6" s="177">
        <f t="shared" si="1"/>
        <v>108.77953945078548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>
      <c r="A7" s="174" t="s">
        <v>838</v>
      </c>
      <c r="B7" s="237">
        <v>70.59</v>
      </c>
      <c r="C7" s="177">
        <f>C6+B7</f>
        <v>685.93999999999994</v>
      </c>
      <c r="D7" s="177">
        <f t="shared" si="0"/>
        <v>171.48499999999999</v>
      </c>
      <c r="E7" s="177">
        <f t="shared" si="1"/>
        <v>121.25820637177509</v>
      </c>
      <c r="G7" s="239">
        <f t="shared" si="2"/>
        <v>0.78539816339744828</v>
      </c>
      <c r="H7" s="210">
        <v>1.5</v>
      </c>
    </row>
    <row r="8" spans="1:22">
      <c r="A8" s="175"/>
      <c r="B8" s="178"/>
      <c r="C8" s="175"/>
      <c r="D8" s="175"/>
      <c r="E8" s="175"/>
    </row>
    <row r="9" spans="1:22">
      <c r="D9" s="175"/>
      <c r="E9" s="175"/>
      <c r="P9" s="175"/>
      <c r="Q9" s="312"/>
      <c r="R9" s="312"/>
      <c r="S9" s="312"/>
      <c r="T9" s="62"/>
      <c r="U9" s="62"/>
      <c r="V9" s="62"/>
    </row>
    <row r="10" spans="1:22" ht="18.75">
      <c r="A10" s="175"/>
      <c r="B10" s="175" t="s">
        <v>944</v>
      </c>
      <c r="C10" s="175"/>
      <c r="G10" s="173" t="s">
        <v>943</v>
      </c>
      <c r="H10" s="173" t="s">
        <v>1045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>
      <c r="A11" s="181" t="s">
        <v>757</v>
      </c>
      <c r="B11" s="181" t="str">
        <f t="shared" ref="B11:B17" si="3">E1</f>
        <v>axial force of brace (Tf)</v>
      </c>
      <c r="C11" s="311" t="s">
        <v>761</v>
      </c>
      <c r="D11" s="311"/>
      <c r="E11" s="311"/>
      <c r="F11" s="174" t="s">
        <v>763</v>
      </c>
      <c r="G11" s="174" t="s">
        <v>762</v>
      </c>
      <c r="H11" s="217" t="s">
        <v>1052</v>
      </c>
      <c r="I11" s="217" t="s">
        <v>1021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>
      <c r="A14" s="174" t="s">
        <v>837</v>
      </c>
      <c r="B14" s="182">
        <f t="shared" si="3"/>
        <v>46.382669311931579</v>
      </c>
      <c r="C14" s="157">
        <v>40</v>
      </c>
      <c r="D14" s="180" t="s">
        <v>759</v>
      </c>
      <c r="E14" s="219">
        <v>100</v>
      </c>
      <c r="F14" s="174">
        <f>C14*E14/100</f>
        <v>40</v>
      </c>
      <c r="G14" s="174">
        <f>0.9*$K$5*F14</f>
        <v>126.72</v>
      </c>
      <c r="H14" s="241">
        <f>B14/G14</f>
        <v>0.36602485252471262</v>
      </c>
      <c r="I14" s="217" t="str">
        <f t="shared" si="8"/>
        <v>OK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>
      <c r="A15" s="174" t="s">
        <v>836</v>
      </c>
      <c r="B15" s="182">
        <f t="shared" si="3"/>
        <v>83.820437841853334</v>
      </c>
      <c r="C15" s="157">
        <v>40</v>
      </c>
      <c r="D15" s="179" t="s">
        <v>759</v>
      </c>
      <c r="E15" s="219">
        <v>100</v>
      </c>
      <c r="F15" s="174">
        <f>C15*E15/100</f>
        <v>40</v>
      </c>
      <c r="G15" s="174">
        <f t="shared" si="6"/>
        <v>126.72</v>
      </c>
      <c r="H15" s="241">
        <f>B15/G15</f>
        <v>0.66146178852472648</v>
      </c>
      <c r="I15" s="217" t="str">
        <f t="shared" ref="I15:I17" si="9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>
      <c r="A16" s="174" t="s">
        <v>814</v>
      </c>
      <c r="B16" s="182">
        <f t="shared" si="3"/>
        <v>108.77953945078548</v>
      </c>
      <c r="C16" s="157">
        <v>40</v>
      </c>
      <c r="D16" s="179" t="s">
        <v>759</v>
      </c>
      <c r="E16" s="219">
        <v>150</v>
      </c>
      <c r="F16" s="174">
        <f t="shared" si="5"/>
        <v>60</v>
      </c>
      <c r="G16" s="174">
        <f t="shared" si="6"/>
        <v>190.08</v>
      </c>
      <c r="H16" s="241">
        <f>B16/G16</f>
        <v>0.57228293061229729</v>
      </c>
      <c r="I16" s="217" t="str">
        <f t="shared" si="9"/>
        <v>OK</v>
      </c>
      <c r="K16" s="178"/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>
      <c r="A17" s="174" t="s">
        <v>838</v>
      </c>
      <c r="B17" s="182">
        <f t="shared" si="3"/>
        <v>121.25820637177509</v>
      </c>
      <c r="C17" s="157">
        <v>40</v>
      </c>
      <c r="D17" s="179" t="s">
        <v>759</v>
      </c>
      <c r="E17" s="219">
        <v>150</v>
      </c>
      <c r="F17" s="174">
        <f t="shared" si="5"/>
        <v>60</v>
      </c>
      <c r="G17" s="174">
        <f t="shared" si="6"/>
        <v>190.08</v>
      </c>
      <c r="H17" s="241">
        <f>B17/G17</f>
        <v>0.63793248301649352</v>
      </c>
      <c r="I17" s="217" t="str">
        <f t="shared" si="9"/>
        <v>OK</v>
      </c>
      <c r="K17" s="178"/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>
      <c r="J20" s="244" t="s">
        <v>1046</v>
      </c>
      <c r="M20" s="114">
        <v>50</v>
      </c>
      <c r="N20" s="174">
        <v>130</v>
      </c>
      <c r="O20" s="174">
        <f t="shared" si="4"/>
        <v>6500</v>
      </c>
    </row>
    <row r="21" spans="1:22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>
      <c r="A23" s="174" t="s">
        <v>824</v>
      </c>
      <c r="B23" s="174">
        <f t="shared" ref="B23:B28" si="10">F12</f>
        <v>0</v>
      </c>
      <c r="C23" s="174">
        <v>3.52</v>
      </c>
      <c r="D23" s="198">
        <f t="shared" ref="D23:D24" si="11">D27/SIN(G2)</f>
        <v>800.00000000000011</v>
      </c>
      <c r="E23" s="208">
        <f t="shared" ref="E23:E28" si="12">H2</f>
        <v>1.5</v>
      </c>
      <c r="F23" s="222">
        <f>M6*B23/D23</f>
        <v>0</v>
      </c>
      <c r="G23" s="150">
        <f t="shared" ref="G23:G28" si="13">B23*C23*$L$2*$L$3</f>
        <v>0</v>
      </c>
      <c r="H23" s="150">
        <f t="shared" ref="H23:H28" si="14">B23*C23*$L$2*$L$3*$L$4</f>
        <v>0</v>
      </c>
      <c r="J23" s="221">
        <f t="shared" ref="J23:K28" si="15">F23*1000</f>
        <v>0</v>
      </c>
      <c r="K23" s="211">
        <f t="shared" si="15"/>
        <v>0</v>
      </c>
      <c r="M23" s="114">
        <v>60</v>
      </c>
      <c r="N23" s="174">
        <v>140</v>
      </c>
      <c r="O23" s="174">
        <f t="shared" si="4"/>
        <v>8400</v>
      </c>
    </row>
    <row r="24" spans="1:22">
      <c r="A24" s="174" t="s">
        <v>822</v>
      </c>
      <c r="B24" s="174">
        <f t="shared" si="10"/>
        <v>0</v>
      </c>
      <c r="C24" s="174">
        <v>3.52</v>
      </c>
      <c r="D24" s="198">
        <f t="shared" si="11"/>
        <v>800.00000000000011</v>
      </c>
      <c r="E24" s="208">
        <f t="shared" si="12"/>
        <v>1.5</v>
      </c>
      <c r="F24" s="222">
        <f>$M$6*B24/D24</f>
        <v>0</v>
      </c>
      <c r="G24" s="150">
        <f t="shared" si="13"/>
        <v>0</v>
      </c>
      <c r="H24" s="150">
        <f t="shared" si="14"/>
        <v>0</v>
      </c>
      <c r="J24" s="221">
        <f t="shared" si="15"/>
        <v>0</v>
      </c>
      <c r="K24" s="211">
        <f t="shared" si="15"/>
        <v>0</v>
      </c>
      <c r="M24" s="114">
        <v>60</v>
      </c>
      <c r="N24" s="174">
        <v>150</v>
      </c>
      <c r="O24" s="174">
        <f t="shared" si="4"/>
        <v>9000</v>
      </c>
    </row>
    <row r="25" spans="1:22">
      <c r="A25" s="174" t="s">
        <v>837</v>
      </c>
      <c r="B25" s="174">
        <f t="shared" si="10"/>
        <v>40</v>
      </c>
      <c r="C25" s="174">
        <v>3.52</v>
      </c>
      <c r="D25" s="198">
        <f>D29/SIN(G4)</f>
        <v>565.68542494923804</v>
      </c>
      <c r="E25" s="208">
        <f t="shared" si="12"/>
        <v>1.5</v>
      </c>
      <c r="F25" s="222">
        <f>E25*M6</f>
        <v>3058.103975535168</v>
      </c>
      <c r="G25" s="150">
        <f t="shared" si="13"/>
        <v>201.34400000000005</v>
      </c>
      <c r="H25" s="150">
        <f t="shared" si="14"/>
        <v>221.47840000000008</v>
      </c>
      <c r="J25" s="221">
        <f t="shared" si="15"/>
        <v>3058103.9755351678</v>
      </c>
      <c r="K25" s="211">
        <f t="shared" si="15"/>
        <v>201344.00000000006</v>
      </c>
      <c r="M25" s="114">
        <v>60</v>
      </c>
      <c r="N25" s="174">
        <v>160</v>
      </c>
      <c r="O25" s="174">
        <f t="shared" si="4"/>
        <v>9600</v>
      </c>
    </row>
    <row r="26" spans="1:22">
      <c r="A26" s="174" t="s">
        <v>836</v>
      </c>
      <c r="B26" s="174">
        <f t="shared" si="10"/>
        <v>40</v>
      </c>
      <c r="C26" s="174">
        <v>3.52</v>
      </c>
      <c r="D26" s="198">
        <f>D29/SIN(G5)</f>
        <v>565.68542494923804</v>
      </c>
      <c r="E26" s="208">
        <f t="shared" si="12"/>
        <v>1.5</v>
      </c>
      <c r="F26" s="222">
        <f>E26*M6</f>
        <v>3058.103975535168</v>
      </c>
      <c r="G26" s="150">
        <f t="shared" si="13"/>
        <v>201.34400000000005</v>
      </c>
      <c r="H26" s="150">
        <f t="shared" si="14"/>
        <v>221.47840000000008</v>
      </c>
      <c r="J26" s="221">
        <f t="shared" si="15"/>
        <v>3058103.9755351678</v>
      </c>
      <c r="K26" s="211">
        <f t="shared" si="15"/>
        <v>201344.00000000006</v>
      </c>
      <c r="M26" s="114">
        <v>70</v>
      </c>
      <c r="N26" s="174">
        <v>140</v>
      </c>
      <c r="O26" s="174">
        <f t="shared" si="4"/>
        <v>9800</v>
      </c>
    </row>
    <row r="27" spans="1:22">
      <c r="A27" s="174" t="s">
        <v>814</v>
      </c>
      <c r="B27" s="174">
        <f t="shared" si="10"/>
        <v>60</v>
      </c>
      <c r="C27" s="174">
        <v>3.52</v>
      </c>
      <c r="D27" s="198">
        <f>D29/SIN(G6)</f>
        <v>565.68542494923804</v>
      </c>
      <c r="E27" s="208">
        <f t="shared" si="12"/>
        <v>1.5</v>
      </c>
      <c r="F27" s="222">
        <f>E27*M6</f>
        <v>3058.103975535168</v>
      </c>
      <c r="G27" s="150">
        <f t="shared" si="13"/>
        <v>302.01600000000002</v>
      </c>
      <c r="H27" s="150">
        <f t="shared" si="14"/>
        <v>332.21760000000006</v>
      </c>
      <c r="J27" s="221">
        <f t="shared" si="15"/>
        <v>3058103.9755351678</v>
      </c>
      <c r="K27" s="211">
        <f t="shared" si="15"/>
        <v>302016</v>
      </c>
      <c r="M27" s="114">
        <v>70</v>
      </c>
      <c r="N27" s="174">
        <v>150</v>
      </c>
      <c r="O27" s="174">
        <f t="shared" si="4"/>
        <v>10500</v>
      </c>
    </row>
    <row r="28" spans="1:22">
      <c r="A28" s="174" t="s">
        <v>838</v>
      </c>
      <c r="B28" s="174">
        <f t="shared" si="10"/>
        <v>60</v>
      </c>
      <c r="C28" s="174">
        <v>3.52</v>
      </c>
      <c r="D28" s="198">
        <f>D29/SIN(G7)</f>
        <v>565.68542494923804</v>
      </c>
      <c r="E28" s="208">
        <f t="shared" si="12"/>
        <v>1.5</v>
      </c>
      <c r="F28" s="222">
        <f>E28*M6</f>
        <v>3058.103975535168</v>
      </c>
      <c r="G28" s="150">
        <f t="shared" si="13"/>
        <v>302.01600000000002</v>
      </c>
      <c r="H28" s="150">
        <f t="shared" si="14"/>
        <v>332.21760000000006</v>
      </c>
      <c r="J28" s="221">
        <f t="shared" si="15"/>
        <v>3058103.9755351678</v>
      </c>
      <c r="K28" s="211">
        <f t="shared" si="15"/>
        <v>302016</v>
      </c>
      <c r="M28" s="114">
        <v>70</v>
      </c>
      <c r="N28" s="174">
        <v>160</v>
      </c>
      <c r="O28" s="174">
        <f t="shared" si="4"/>
        <v>11200</v>
      </c>
    </row>
    <row r="29" spans="1:22" ht="16.5">
      <c r="A29" s="62"/>
      <c r="B29" s="62"/>
      <c r="C29" s="246" t="s">
        <v>1047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>
      <c r="A30" s="62"/>
      <c r="B30" s="62"/>
      <c r="C30" s="62"/>
      <c r="D30" s="240"/>
      <c r="E30" s="227"/>
      <c r="F30" s="223"/>
      <c r="G30" s="223"/>
      <c r="M30" s="114">
        <v>80</v>
      </c>
      <c r="N30" s="174">
        <v>180</v>
      </c>
      <c r="O30" s="174">
        <f t="shared" si="4"/>
        <v>14400</v>
      </c>
    </row>
    <row r="31" spans="1:22">
      <c r="A31" s="62"/>
      <c r="B31" s="62"/>
      <c r="C31" s="62"/>
      <c r="D31" s="240"/>
      <c r="E31" s="227"/>
      <c r="F31" s="223"/>
      <c r="G31" s="223"/>
      <c r="M31" s="114">
        <v>80</v>
      </c>
      <c r="N31" s="174">
        <v>200</v>
      </c>
      <c r="O31" s="174">
        <f t="shared" si="4"/>
        <v>16000</v>
      </c>
    </row>
    <row r="32" spans="1:22">
      <c r="M32" s="114">
        <v>90</v>
      </c>
      <c r="N32" s="174">
        <v>200</v>
      </c>
      <c r="O32" s="174">
        <f t="shared" si="4"/>
        <v>18000</v>
      </c>
    </row>
    <row r="33" spans="1:22" ht="17.25" thickBot="1">
      <c r="A33" s="315" t="s">
        <v>967</v>
      </c>
      <c r="B33" s="315"/>
      <c r="D33" s="213" t="s">
        <v>970</v>
      </c>
      <c r="E33" s="213" t="s">
        <v>969</v>
      </c>
      <c r="F33" s="212" t="s">
        <v>968</v>
      </c>
      <c r="G33" s="213" t="s">
        <v>963</v>
      </c>
      <c r="M33" s="114">
        <v>90</v>
      </c>
      <c r="N33" s="174">
        <v>220</v>
      </c>
      <c r="O33" s="174">
        <f t="shared" si="4"/>
        <v>19800</v>
      </c>
    </row>
    <row r="34" spans="1:22">
      <c r="A34" s="205" t="s">
        <v>745</v>
      </c>
      <c r="B34" s="168" t="s">
        <v>955</v>
      </c>
      <c r="C34" s="313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>
      <c r="A35" s="163" t="s">
        <v>966</v>
      </c>
      <c r="B35" s="174" t="s">
        <v>953</v>
      </c>
      <c r="C35" s="314"/>
      <c r="E35" s="211"/>
      <c r="F35" s="211"/>
      <c r="G35" s="211"/>
    </row>
    <row r="36" spans="1:22">
      <c r="A36" s="200" t="s">
        <v>747</v>
      </c>
      <c r="B36" s="174" t="s">
        <v>954</v>
      </c>
      <c r="C36" s="314"/>
    </row>
    <row r="37" spans="1:22" ht="16.5">
      <c r="A37" s="200" t="s">
        <v>748</v>
      </c>
      <c r="B37" s="174" t="s">
        <v>956</v>
      </c>
      <c r="C37" s="313" t="s">
        <v>965</v>
      </c>
      <c r="D37" s="212"/>
    </row>
    <row r="38" spans="1:22" ht="16.5">
      <c r="A38" s="163" t="s">
        <v>749</v>
      </c>
      <c r="B38" s="174" t="s">
        <v>957</v>
      </c>
      <c r="C38" s="314"/>
      <c r="D38" s="212"/>
    </row>
    <row r="39" spans="1:22" ht="16.5" thickBot="1">
      <c r="A39" s="202" t="s">
        <v>750</v>
      </c>
      <c r="B39" s="94" t="s">
        <v>958</v>
      </c>
      <c r="C39" s="314"/>
    </row>
    <row r="40" spans="1:22" ht="16.5">
      <c r="A40" s="176" t="s">
        <v>928</v>
      </c>
      <c r="B40" s="173" t="s">
        <v>959</v>
      </c>
      <c r="C40" s="213" t="s">
        <v>961</v>
      </c>
    </row>
    <row r="41" spans="1:22" ht="16.5">
      <c r="A41" s="176" t="s">
        <v>929</v>
      </c>
      <c r="B41" s="173" t="s">
        <v>960</v>
      </c>
      <c r="C41" s="213" t="s">
        <v>964</v>
      </c>
    </row>
    <row r="43" spans="1:22" ht="16.5" thickBot="1"/>
    <row r="44" spans="1:22">
      <c r="A44" s="298" t="s">
        <v>840</v>
      </c>
      <c r="B44" s="299"/>
      <c r="C44" s="300"/>
      <c r="D44" s="298" t="s">
        <v>841</v>
      </c>
      <c r="E44" s="299"/>
      <c r="F44" s="300"/>
      <c r="G44" s="298" t="s">
        <v>842</v>
      </c>
      <c r="H44" s="299"/>
      <c r="I44" s="300"/>
      <c r="K44" s="172" t="s">
        <v>773</v>
      </c>
      <c r="N44" s="173" t="s">
        <v>951</v>
      </c>
      <c r="O44" s="173" t="s">
        <v>952</v>
      </c>
    </row>
    <row r="45" spans="1:22" ht="47.25" customHeight="1">
      <c r="A45" s="156" t="s">
        <v>698</v>
      </c>
      <c r="B45" s="157">
        <v>600</v>
      </c>
      <c r="C45" s="158" t="s">
        <v>699</v>
      </c>
      <c r="D45" s="156" t="s">
        <v>698</v>
      </c>
      <c r="E45" s="157">
        <v>520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07" t="s">
        <v>758</v>
      </c>
      <c r="Q45" s="308"/>
      <c r="R45" s="308"/>
      <c r="S45" s="308"/>
      <c r="T45" s="308"/>
      <c r="U45" s="308"/>
      <c r="V45" s="309"/>
    </row>
    <row r="46" spans="1:22">
      <c r="A46" s="156" t="s">
        <v>700</v>
      </c>
      <c r="B46" s="157">
        <v>300</v>
      </c>
      <c r="C46" s="158" t="s">
        <v>699</v>
      </c>
      <c r="D46" s="156" t="s">
        <v>700</v>
      </c>
      <c r="E46" s="157">
        <v>220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16">G23</f>
        <v>0</v>
      </c>
      <c r="M46" s="150">
        <f t="shared" si="16"/>
        <v>0</v>
      </c>
      <c r="N46" s="150">
        <f t="shared" ref="N46:N51" si="17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>
      <c r="A47" s="156" t="s">
        <v>701</v>
      </c>
      <c r="B47" s="157">
        <v>15</v>
      </c>
      <c r="C47" s="158" t="s">
        <v>699</v>
      </c>
      <c r="D47" s="156" t="s">
        <v>701</v>
      </c>
      <c r="E47" s="157">
        <v>12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16"/>
        <v>0</v>
      </c>
      <c r="M47" s="150">
        <f t="shared" si="16"/>
        <v>0</v>
      </c>
      <c r="N47" s="150">
        <f t="shared" si="17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>
      <c r="A48" s="156" t="s">
        <v>702</v>
      </c>
      <c r="B48" s="157">
        <v>25</v>
      </c>
      <c r="C48" s="158" t="s">
        <v>699</v>
      </c>
      <c r="D48" s="156" t="s">
        <v>702</v>
      </c>
      <c r="E48" s="157">
        <v>20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16"/>
        <v>201.34400000000005</v>
      </c>
      <c r="M48" s="183">
        <f t="shared" si="16"/>
        <v>221.47840000000008</v>
      </c>
      <c r="N48" s="183">
        <f t="shared" si="17"/>
        <v>149.49029313878549</v>
      </c>
      <c r="O48" s="197">
        <f>(M48-L48)*SIN(G4)*O52/4</f>
        <v>2847.4341550244885</v>
      </c>
      <c r="P48" s="248">
        <f>E45</f>
        <v>520</v>
      </c>
      <c r="Q48" s="192" t="s">
        <v>759</v>
      </c>
      <c r="R48" s="248">
        <f>E46</f>
        <v>220</v>
      </c>
      <c r="S48" s="192" t="s">
        <v>759</v>
      </c>
      <c r="T48" s="248">
        <f>E47</f>
        <v>12</v>
      </c>
      <c r="U48" s="192" t="s">
        <v>759</v>
      </c>
      <c r="V48" s="248">
        <f>E48</f>
        <v>20</v>
      </c>
    </row>
    <row r="49" spans="1:23">
      <c r="A49" s="156" t="s">
        <v>703</v>
      </c>
      <c r="B49" s="62">
        <v>3.52</v>
      </c>
      <c r="C49" s="158" t="s">
        <v>718</v>
      </c>
      <c r="D49" s="156" t="s">
        <v>703</v>
      </c>
      <c r="E49" s="62">
        <v>3.52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16"/>
        <v>201.34400000000005</v>
      </c>
      <c r="M49" s="150">
        <f t="shared" si="16"/>
        <v>221.47840000000008</v>
      </c>
      <c r="N49" s="150">
        <f t="shared" si="17"/>
        <v>149.49029313878549</v>
      </c>
      <c r="O49" s="197">
        <f>(M49-L49)*SIN(G5)*O52/4</f>
        <v>2847.4341550244885</v>
      </c>
      <c r="P49" s="248">
        <f>P48</f>
        <v>520</v>
      </c>
      <c r="Q49" s="193" t="s">
        <v>759</v>
      </c>
      <c r="R49" s="248">
        <f>R48</f>
        <v>220</v>
      </c>
      <c r="S49" s="193" t="s">
        <v>759</v>
      </c>
      <c r="T49" s="248">
        <f>T48</f>
        <v>12</v>
      </c>
      <c r="U49" s="193" t="s">
        <v>759</v>
      </c>
      <c r="V49" s="248">
        <f>V48</f>
        <v>20</v>
      </c>
    </row>
    <row r="50" spans="1:23" ht="16.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16"/>
        <v>302.01600000000002</v>
      </c>
      <c r="M50" s="150">
        <f t="shared" si="16"/>
        <v>332.21760000000006</v>
      </c>
      <c r="N50" s="150">
        <f t="shared" si="17"/>
        <v>224.23543970817818</v>
      </c>
      <c r="O50" s="197">
        <f>(M50-L50)*SIN(G6)*O52/4</f>
        <v>4271.1512325367321</v>
      </c>
      <c r="P50" s="248">
        <f>B45</f>
        <v>600</v>
      </c>
      <c r="Q50" s="193" t="s">
        <v>759</v>
      </c>
      <c r="R50" s="248">
        <f>B46</f>
        <v>300</v>
      </c>
      <c r="S50" s="193" t="s">
        <v>759</v>
      </c>
      <c r="T50" s="248">
        <f>B47</f>
        <v>15</v>
      </c>
      <c r="U50" s="193" t="s">
        <v>759</v>
      </c>
      <c r="V50" s="248">
        <f>B48</f>
        <v>25</v>
      </c>
    </row>
    <row r="51" spans="1:23" ht="16.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16"/>
        <v>302.01600000000002</v>
      </c>
      <c r="M51" s="150">
        <f t="shared" si="16"/>
        <v>332.21760000000006</v>
      </c>
      <c r="N51" s="150">
        <f t="shared" si="17"/>
        <v>224.23543970817818</v>
      </c>
      <c r="O51" s="197">
        <f>(M51-L51)*SIN(G7)*O52/4</f>
        <v>4271.1512325367321</v>
      </c>
      <c r="P51" s="248">
        <f>P50</f>
        <v>600</v>
      </c>
      <c r="Q51" s="193" t="s">
        <v>759</v>
      </c>
      <c r="R51" s="248">
        <f>R50</f>
        <v>300</v>
      </c>
      <c r="S51" s="193" t="s">
        <v>759</v>
      </c>
      <c r="T51" s="248">
        <f>T50</f>
        <v>15</v>
      </c>
      <c r="U51" s="193" t="s">
        <v>759</v>
      </c>
      <c r="V51" s="248">
        <f>V50</f>
        <v>25</v>
      </c>
    </row>
    <row r="52" spans="1:23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1048</v>
      </c>
      <c r="O52" s="247">
        <v>800</v>
      </c>
    </row>
    <row r="53" spans="1:23" ht="18">
      <c r="A53" s="163" t="s">
        <v>707</v>
      </c>
      <c r="B53" s="174">
        <f>B46*B48*2+(B45-B48-B48)*B47</f>
        <v>23250</v>
      </c>
      <c r="C53" s="93" t="s">
        <v>708</v>
      </c>
      <c r="D53" s="163" t="s">
        <v>707</v>
      </c>
      <c r="E53" s="174">
        <f>E46*E48*2+(E45-E48-E48)*E47</f>
        <v>14560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>
      <c r="A54" s="163" t="s">
        <v>709</v>
      </c>
      <c r="B54" s="174">
        <f>(B47*(B45-B48-B48)^3)/12+2*(B46*B48*B48*B48/12+B46*B48*(B45*0.5-0.5*B48)^2)</f>
        <v>1448593750</v>
      </c>
      <c r="C54" s="93" t="s">
        <v>710</v>
      </c>
      <c r="D54" s="163" t="s">
        <v>709</v>
      </c>
      <c r="E54" s="174">
        <f>(E47*(E45-E48-E48)^3)/12+2*(E46*E48*E48*E48/12+E46*E48*(E45*0.5-0.5*E48)^2)</f>
        <v>660885333.33333337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>
      <c r="A55" s="163" t="s">
        <v>711</v>
      </c>
      <c r="B55" s="174">
        <f>(B45-B48-B48)*B47*B47*B47/12+B48*B46*B46*B46*2/12</f>
        <v>112654687.5</v>
      </c>
      <c r="C55" s="93" t="s">
        <v>710</v>
      </c>
      <c r="D55" s="163" t="s">
        <v>711</v>
      </c>
      <c r="E55" s="174">
        <f>(E45-E48-E48)*E47*E47*E47/12+E48*E46*E46*E46*2/12</f>
        <v>35562453.333333336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>
      <c r="A56" s="163" t="s">
        <v>712</v>
      </c>
      <c r="B56" s="174">
        <f>(B45-B48-B48)*B47*B47*B47/3+B46*B48*B48*B48/3*2</f>
        <v>3743750</v>
      </c>
      <c r="C56" s="93" t="s">
        <v>710</v>
      </c>
      <c r="D56" s="163" t="s">
        <v>712</v>
      </c>
      <c r="E56" s="174">
        <f>(E45-E48-E48)*E47*E47*E47/3+E46*E48*E48*E48/3*2</f>
        <v>1449813.3333333333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18">IF(O56&lt;1,"OK","NG")</f>
        <v>#DIV/0!</v>
      </c>
    </row>
    <row r="57" spans="1:23" ht="18">
      <c r="A57" s="163" t="s">
        <v>713</v>
      </c>
      <c r="B57" s="174">
        <f>B54/(B45/2)</f>
        <v>4828645.833333333</v>
      </c>
      <c r="C57" s="93" t="s">
        <v>714</v>
      </c>
      <c r="D57" s="163" t="s">
        <v>713</v>
      </c>
      <c r="E57" s="174">
        <f>E54/(E45/2)</f>
        <v>2541866.666666667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18"/>
        <v>#DIV/0!</v>
      </c>
    </row>
    <row r="58" spans="1:23" ht="18">
      <c r="A58" s="163" t="s">
        <v>715</v>
      </c>
      <c r="B58" s="174">
        <f>B55/(B46/2)</f>
        <v>751031.25</v>
      </c>
      <c r="C58" s="93" t="s">
        <v>714</v>
      </c>
      <c r="D58" s="163" t="s">
        <v>715</v>
      </c>
      <c r="E58" s="174">
        <f>E55/(E46/2)</f>
        <v>323295.03030303033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0.53524890948426496</v>
      </c>
      <c r="M58" s="150">
        <f>IF(L58&lt;=1.5,(0.658^(L58*L58))*E49*E53/100,0.877/L58/L58*E49*E53/100)</f>
        <v>454.59779107334589</v>
      </c>
      <c r="N58" s="150">
        <f>IF(AND(E63&lt;E65,E66&lt;E68),E61,0)</f>
        <v>10177.023999999999</v>
      </c>
      <c r="O58" s="228">
        <f>O59</f>
        <v>0.66320775816871236</v>
      </c>
      <c r="P58" s="217" t="str">
        <f t="shared" si="18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>
      <c r="A59" s="163" t="s">
        <v>716</v>
      </c>
      <c r="B59" s="174">
        <f>B46*B45*B45*0.25-(B46-B47)*((B45-2*B48)^2)*0.25</f>
        <v>5446875</v>
      </c>
      <c r="C59" s="93" t="s">
        <v>714</v>
      </c>
      <c r="D59" s="163" t="s">
        <v>716</v>
      </c>
      <c r="E59" s="174">
        <f>E46*E45*E45*0.25-(E46-E47)*(E45-2*E48)^2*0.25</f>
        <v>2891200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0.53524890948426496</v>
      </c>
      <c r="M59" s="150">
        <f>IF(L59&lt;=1.5,(0.658^(L59*L59))*E49*E53/100,0.877/L59/L59*E49*E53/100)</f>
        <v>454.59779107334589</v>
      </c>
      <c r="N59" s="150">
        <f>IF(AND(E63&lt;E65,E66&lt;E68),E61,0)</f>
        <v>10177.023999999999</v>
      </c>
      <c r="O59" s="228">
        <f>IF(N49/(0.85*M59)&gt;=0.2,N49/(0.85*M59)+8*O49/(9*0.9*N59),N49/(2*0.85*M59)+O49/(0.9*N59))</f>
        <v>0.66320775816871236</v>
      </c>
      <c r="P59" s="217" t="str">
        <f t="shared" si="18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>
      <c r="A60" s="165" t="s">
        <v>717</v>
      </c>
      <c r="B60" s="146">
        <f>B48*B46*B46*0.25*2+(B45-2*B48)*B47*B47*0.25</f>
        <v>1155937.5</v>
      </c>
      <c r="C60" s="166" t="s">
        <v>714</v>
      </c>
      <c r="D60" s="165" t="s">
        <v>717</v>
      </c>
      <c r="E60" s="146">
        <f>E48*E46*E46*0.25*2+(E45-2*E48)*E47*E47*0.25</f>
        <v>501280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0.38002118300897053</v>
      </c>
      <c r="M60" s="150">
        <f>IF(L60&lt;=1.5,(0.658^(L60*L60))*B49*B53/100,0.877/L60/L60*B49*B53/100)</f>
        <v>770.39687640848467</v>
      </c>
      <c r="N60" s="150">
        <f>IF(AND(B63&lt;B65,B66&lt;B68),B61,0)</f>
        <v>19173</v>
      </c>
      <c r="O60" s="228">
        <f>IF(N50/(0.85*M60)&gt;=0.2,N50/(0.85*M60)+8*O50/(9*0.9*N60),N50/(2*0.85*M60)+O50/(0.9*N60))</f>
        <v>0.56244804465208453</v>
      </c>
      <c r="P60" s="217" t="str">
        <f t="shared" si="18"/>
        <v>OK</v>
      </c>
    </row>
    <row r="61" spans="1:23">
      <c r="A61" s="167" t="s">
        <v>719</v>
      </c>
      <c r="B61" s="168">
        <f>B59*B49/1000</f>
        <v>19173</v>
      </c>
      <c r="C61" s="99" t="s">
        <v>721</v>
      </c>
      <c r="D61" s="167" t="s">
        <v>719</v>
      </c>
      <c r="E61" s="168">
        <f>E59*E49/1000</f>
        <v>10177.023999999999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0.38002118300897053</v>
      </c>
      <c r="M61" s="150">
        <f>IF(L61&lt;=1.5,(0.658^(L61*L61))*B49*B53/100,0.877/L61/L61*B49*B53/100)</f>
        <v>770.39687640848467</v>
      </c>
      <c r="N61" s="150">
        <f>IF(AND(B63&lt;B65,B66&lt;B68),B61,0)</f>
        <v>19173</v>
      </c>
      <c r="O61" s="228">
        <f>O60</f>
        <v>0.56244804465208453</v>
      </c>
      <c r="P61" s="217" t="str">
        <f t="shared" si="18"/>
        <v>OK</v>
      </c>
    </row>
    <row r="62" spans="1:23" ht="17.25" customHeight="1" thickBot="1">
      <c r="A62" s="164" t="s">
        <v>720</v>
      </c>
      <c r="B62" s="94">
        <f>0.6*(B45-B48-B48)*B47*B49/10/10</f>
        <v>174.24</v>
      </c>
      <c r="C62" s="95" t="s">
        <v>722</v>
      </c>
      <c r="D62" s="164" t="s">
        <v>720</v>
      </c>
      <c r="E62" s="94">
        <f>0.6*(E45-E48-E48)*E47*E49/10/10</f>
        <v>121.65120000000002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1050</v>
      </c>
      <c r="L62" s="250">
        <v>400</v>
      </c>
      <c r="O62" s="225" t="s">
        <v>941</v>
      </c>
      <c r="P62" s="211"/>
    </row>
    <row r="63" spans="1:23" ht="16.5" customHeight="1">
      <c r="A63" s="205" t="s">
        <v>745</v>
      </c>
      <c r="B63" s="168">
        <f>B46*0.5/B48</f>
        <v>6</v>
      </c>
      <c r="C63" s="93"/>
      <c r="D63" s="204" t="s">
        <v>745</v>
      </c>
      <c r="E63" s="168">
        <f>E46*0.5/E48</f>
        <v>5.5</v>
      </c>
      <c r="F63" s="93"/>
      <c r="G63" s="168" t="s">
        <v>745</v>
      </c>
      <c r="H63" s="168" t="e">
        <f>H46*0.5/H48</f>
        <v>#DIV/0!</v>
      </c>
      <c r="I63" s="99"/>
      <c r="J63" s="62"/>
      <c r="K63" s="294" t="s">
        <v>976</v>
      </c>
      <c r="L63" s="294"/>
      <c r="M63" s="294" t="s">
        <v>973</v>
      </c>
      <c r="N63" s="294"/>
    </row>
    <row r="64" spans="1:23">
      <c r="A64" s="163" t="s">
        <v>746</v>
      </c>
      <c r="B64" s="174">
        <f>25/SQRT(B49)</f>
        <v>13.325044772225652</v>
      </c>
      <c r="C64" s="93"/>
      <c r="D64" s="174" t="s">
        <v>746</v>
      </c>
      <c r="E64" s="174">
        <f>25/SQRT(E49)</f>
        <v>13.325044772225652</v>
      </c>
      <c r="F64" s="93"/>
      <c r="G64" s="174" t="s">
        <v>746</v>
      </c>
      <c r="H64" s="174">
        <f>25/SQRT(H49)</f>
        <v>13.363062095621219</v>
      </c>
      <c r="I64" s="93"/>
      <c r="J64" s="62"/>
      <c r="K64" s="294"/>
      <c r="L64" s="294"/>
      <c r="M64" s="294"/>
      <c r="N64" s="294"/>
    </row>
    <row r="65" spans="1:21" ht="15.75" customHeight="1">
      <c r="A65" s="200" t="s">
        <v>747</v>
      </c>
      <c r="B65" s="174">
        <f>16/SQRT(B49)</f>
        <v>8.5280286542244177</v>
      </c>
      <c r="C65" s="93"/>
      <c r="D65" s="199" t="s">
        <v>747</v>
      </c>
      <c r="E65" s="174">
        <f>16/SQRT(E49)</f>
        <v>8.5280286542244177</v>
      </c>
      <c r="F65" s="93"/>
      <c r="G65" s="174" t="s">
        <v>747</v>
      </c>
      <c r="H65" s="174">
        <f>16/SQRT(H49)</f>
        <v>8.5523597411975807</v>
      </c>
      <c r="I65" s="93"/>
      <c r="J65" s="62"/>
      <c r="K65" s="294" t="s">
        <v>977</v>
      </c>
      <c r="L65" s="294"/>
      <c r="M65" s="294" t="s">
        <v>974</v>
      </c>
      <c r="N65" s="294"/>
    </row>
    <row r="66" spans="1:21">
      <c r="A66" s="200" t="s">
        <v>748</v>
      </c>
      <c r="B66" s="174">
        <f>(B45-B48-B48)/B47</f>
        <v>36.666666666666664</v>
      </c>
      <c r="C66" s="93"/>
      <c r="D66" s="199" t="s">
        <v>748</v>
      </c>
      <c r="E66" s="174">
        <f>(E45-E48-E48)/E47</f>
        <v>40</v>
      </c>
      <c r="F66" s="93"/>
      <c r="G66" s="174" t="s">
        <v>748</v>
      </c>
      <c r="H66" s="174" t="e">
        <f>(H45-H48-H48)/H47</f>
        <v>#DIV/0!</v>
      </c>
      <c r="I66" s="93"/>
      <c r="J66" s="62"/>
      <c r="K66" s="294"/>
      <c r="L66" s="294"/>
      <c r="M66" s="211"/>
      <c r="N66" s="211"/>
    </row>
    <row r="67" spans="1:21" ht="16.5" customHeight="1">
      <c r="A67" s="163" t="s">
        <v>749</v>
      </c>
      <c r="B67" s="174">
        <f>260/SQRT(B49)</f>
        <v>138.58046563114678</v>
      </c>
      <c r="C67" s="93"/>
      <c r="D67" s="174" t="s">
        <v>749</v>
      </c>
      <c r="E67" s="174">
        <f>260/SQRT(E49)</f>
        <v>138.58046563114678</v>
      </c>
      <c r="F67" s="93"/>
      <c r="G67" s="174" t="s">
        <v>749</v>
      </c>
      <c r="H67" s="174">
        <f>260/SQRT(H49)</f>
        <v>138.9758457944607</v>
      </c>
      <c r="I67" s="93"/>
      <c r="J67" s="62"/>
      <c r="K67" s="294" t="s">
        <v>978</v>
      </c>
      <c r="L67" s="294"/>
    </row>
    <row r="68" spans="1:21" ht="17.25" thickBot="1">
      <c r="A68" s="202" t="s">
        <v>750</v>
      </c>
      <c r="B68" s="94">
        <f>170/SQRT(B49)</f>
        <v>90.610304451134425</v>
      </c>
      <c r="C68" s="95"/>
      <c r="D68" s="201" t="s">
        <v>750</v>
      </c>
      <c r="E68" s="94">
        <f>170/SQRT(E49)</f>
        <v>90.610304451134425</v>
      </c>
      <c r="F68" s="95"/>
      <c r="G68" s="94" t="s">
        <v>750</v>
      </c>
      <c r="H68" s="94">
        <f>170/SQRT(H49)</f>
        <v>90.868822250224298</v>
      </c>
      <c r="I68" s="95"/>
      <c r="J68" s="62"/>
      <c r="K68" s="310" t="s">
        <v>1020</v>
      </c>
      <c r="L68" s="310"/>
    </row>
    <row r="69" spans="1:21">
      <c r="A69" s="176" t="s">
        <v>928</v>
      </c>
      <c r="B69" s="173">
        <f>14/SQRT(B49)</f>
        <v>7.462025072446365</v>
      </c>
      <c r="D69" s="176" t="s">
        <v>928</v>
      </c>
      <c r="E69" s="173">
        <f>14/SQRT(E49)</f>
        <v>7.462025072446365</v>
      </c>
      <c r="J69" s="62"/>
      <c r="M69" s="153"/>
    </row>
    <row r="70" spans="1:21">
      <c r="A70" s="176" t="s">
        <v>929</v>
      </c>
      <c r="B70" s="173">
        <f>138/SQRT(B49)</f>
        <v>73.554247142685597</v>
      </c>
      <c r="D70" s="176" t="s">
        <v>929</v>
      </c>
      <c r="E70" s="173">
        <f>138/SQRT(E49)</f>
        <v>73.554247142685597</v>
      </c>
      <c r="J70" s="62"/>
    </row>
    <row r="71" spans="1:21">
      <c r="A71" s="176"/>
      <c r="D71" s="176"/>
      <c r="J71" s="62"/>
    </row>
    <row r="72" spans="1:21">
      <c r="A72" s="176"/>
      <c r="D72" s="176"/>
      <c r="J72" s="62"/>
    </row>
    <row r="73" spans="1:21" ht="16.5" thickBot="1">
      <c r="A73" s="176"/>
      <c r="D73" s="176"/>
      <c r="J73" s="62"/>
    </row>
    <row r="74" spans="1:21">
      <c r="A74" s="298" t="s">
        <v>834</v>
      </c>
      <c r="B74" s="299"/>
      <c r="C74" s="300"/>
      <c r="D74" s="298" t="s">
        <v>930</v>
      </c>
      <c r="E74" s="299"/>
      <c r="F74" s="300"/>
      <c r="G74" s="298" t="s">
        <v>839</v>
      </c>
      <c r="H74" s="299"/>
      <c r="I74" s="300"/>
      <c r="J74" s="62"/>
      <c r="N74" s="215" t="s">
        <v>1005</v>
      </c>
    </row>
    <row r="75" spans="1:21" ht="16.5">
      <c r="A75" s="156" t="s">
        <v>698</v>
      </c>
      <c r="B75" s="157">
        <v>430</v>
      </c>
      <c r="C75" s="158" t="s">
        <v>699</v>
      </c>
      <c r="D75" s="156" t="s">
        <v>698</v>
      </c>
      <c r="E75" s="157">
        <v>420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>
      <c r="A76" s="156" t="s">
        <v>700</v>
      </c>
      <c r="B76" s="157">
        <v>410</v>
      </c>
      <c r="C76" s="158" t="s">
        <v>699</v>
      </c>
      <c r="D76" s="156" t="s">
        <v>700</v>
      </c>
      <c r="E76" s="157">
        <v>405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07" t="s">
        <v>758</v>
      </c>
      <c r="P76" s="308"/>
      <c r="Q76" s="308"/>
      <c r="R76" s="308"/>
      <c r="S76" s="308"/>
      <c r="T76" s="308"/>
      <c r="U76" s="309"/>
    </row>
    <row r="77" spans="1:21">
      <c r="A77" s="156" t="s">
        <v>701</v>
      </c>
      <c r="B77" s="157">
        <v>20</v>
      </c>
      <c r="C77" s="158" t="s">
        <v>699</v>
      </c>
      <c r="D77" s="156" t="s">
        <v>701</v>
      </c>
      <c r="E77" s="157">
        <v>18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19">L46</f>
        <v>0</v>
      </c>
      <c r="M77" s="150">
        <f t="shared" si="19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>
      <c r="A78" s="156" t="s">
        <v>702</v>
      </c>
      <c r="B78" s="157">
        <v>35</v>
      </c>
      <c r="C78" s="158" t="s">
        <v>699</v>
      </c>
      <c r="D78" s="156" t="s">
        <v>702</v>
      </c>
      <c r="E78" s="157">
        <v>28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19"/>
        <v>0</v>
      </c>
      <c r="M78" s="150">
        <f t="shared" si="19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>
      <c r="A79" s="156" t="s">
        <v>703</v>
      </c>
      <c r="B79" s="62">
        <v>3.52</v>
      </c>
      <c r="C79" s="158" t="s">
        <v>718</v>
      </c>
      <c r="D79" s="156" t="s">
        <v>703</v>
      </c>
      <c r="E79" s="62">
        <v>3.52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19"/>
        <v>201.34400000000005</v>
      </c>
      <c r="M79" s="150">
        <f t="shared" si="19"/>
        <v>221.47840000000008</v>
      </c>
      <c r="N79" s="226">
        <f>M78*SIN(G3)+N78</f>
        <v>0</v>
      </c>
      <c r="O79" s="248">
        <f>E75</f>
        <v>420</v>
      </c>
      <c r="P79" s="192" t="s">
        <v>759</v>
      </c>
      <c r="Q79" s="248">
        <f>E76</f>
        <v>405</v>
      </c>
      <c r="R79" s="192" t="s">
        <v>759</v>
      </c>
      <c r="S79" s="248">
        <f>E77</f>
        <v>18</v>
      </c>
      <c r="T79" s="193" t="s">
        <v>759</v>
      </c>
      <c r="U79" s="248">
        <f>E78</f>
        <v>28</v>
      </c>
    </row>
    <row r="80" spans="1:21" ht="16.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19"/>
        <v>201.34400000000005</v>
      </c>
      <c r="M80" s="150">
        <f t="shared" si="19"/>
        <v>221.47840000000008</v>
      </c>
      <c r="N80" s="226">
        <f>M79*SIN(G4)+N79</f>
        <v>156.6088785263467</v>
      </c>
      <c r="O80" s="248">
        <f>O79</f>
        <v>420</v>
      </c>
      <c r="P80" s="193" t="s">
        <v>759</v>
      </c>
      <c r="Q80" s="248">
        <f>Q79</f>
        <v>405</v>
      </c>
      <c r="R80" s="193" t="s">
        <v>759</v>
      </c>
      <c r="S80" s="248">
        <f>S79</f>
        <v>18</v>
      </c>
      <c r="T80" s="193" t="s">
        <v>759</v>
      </c>
      <c r="U80" s="248">
        <f>U79</f>
        <v>28</v>
      </c>
    </row>
    <row r="81" spans="1:21" ht="16.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19"/>
        <v>302.01600000000002</v>
      </c>
      <c r="M81" s="150">
        <f t="shared" si="19"/>
        <v>332.21760000000006</v>
      </c>
      <c r="N81" s="226">
        <f>M80*SIN(G5)+N80</f>
        <v>313.2177570526934</v>
      </c>
      <c r="O81" s="248">
        <f>B75</f>
        <v>430</v>
      </c>
      <c r="P81" s="193" t="s">
        <v>759</v>
      </c>
      <c r="Q81" s="248">
        <f>B76</f>
        <v>410</v>
      </c>
      <c r="R81" s="193" t="s">
        <v>759</v>
      </c>
      <c r="S81" s="248">
        <f>B77</f>
        <v>20</v>
      </c>
      <c r="T81" s="193" t="s">
        <v>759</v>
      </c>
      <c r="U81" s="248">
        <f>B78</f>
        <v>35</v>
      </c>
    </row>
    <row r="82" spans="1:21" ht="21" customHeight="1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19"/>
        <v>302.01600000000002</v>
      </c>
      <c r="M82" s="150">
        <f t="shared" si="19"/>
        <v>332.21760000000006</v>
      </c>
      <c r="N82" s="226">
        <f>M81*SIN(G6)+N81</f>
        <v>548.13107484221337</v>
      </c>
      <c r="O82" s="248">
        <f>O81</f>
        <v>430</v>
      </c>
      <c r="P82" s="193" t="s">
        <v>759</v>
      </c>
      <c r="Q82" s="248">
        <f>Q81</f>
        <v>410</v>
      </c>
      <c r="R82" s="193" t="s">
        <v>759</v>
      </c>
      <c r="S82" s="248">
        <f>S81</f>
        <v>20</v>
      </c>
      <c r="T82" s="193" t="s">
        <v>759</v>
      </c>
      <c r="U82" s="248">
        <f>U81</f>
        <v>35</v>
      </c>
    </row>
    <row r="83" spans="1:21" ht="18">
      <c r="A83" s="163" t="s">
        <v>707</v>
      </c>
      <c r="B83" s="174">
        <f>B76*B78*2+(B75-B78-B78)*B77</f>
        <v>35900</v>
      </c>
      <c r="C83" s="93" t="s">
        <v>708</v>
      </c>
      <c r="D83" s="163" t="s">
        <v>707</v>
      </c>
      <c r="E83" s="174">
        <f>E76*E78*2+(E75-E78-E78)*E77</f>
        <v>29232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>
      <c r="A84" s="163" t="s">
        <v>709</v>
      </c>
      <c r="B84" s="174">
        <f>(B77*(B75-B78-B78)^3)/12+2*(B76*B78*B78*B78/12+B76*B78*(B75*0.5-0.5*B78)^2)</f>
        <v>1200169166.6666667</v>
      </c>
      <c r="C84" s="93" t="s">
        <v>710</v>
      </c>
      <c r="D84" s="163" t="s">
        <v>709</v>
      </c>
      <c r="E84" s="174">
        <f>(E77*(E75-E78-E78)^3)/12+2*(E76*E78*E78*E78/12+E76*E78*(E75*0.5-0.5*E78)^2)</f>
        <v>945099456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>
      <c r="A85" s="163" t="s">
        <v>711</v>
      </c>
      <c r="B85" s="174">
        <f>(B75-B78-B78)*B77*B77*B77/12+B78*B76*B76*B76*2/12</f>
        <v>402279166.66666669</v>
      </c>
      <c r="C85" s="93" t="s">
        <v>710</v>
      </c>
      <c r="D85" s="163" t="s">
        <v>711</v>
      </c>
      <c r="E85" s="174">
        <f>(E75-E78-E78)*E77*E77*E77/12+E78*E76*E76*E76*2/12</f>
        <v>310184154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>
      <c r="A86" s="163" t="s">
        <v>712</v>
      </c>
      <c r="B86" s="174">
        <f>(B75-B78-B78)*B77*B77*B77/3+B76*B78*B78*B78/3*2</f>
        <v>12679166.666666666</v>
      </c>
      <c r="C86" s="93" t="s">
        <v>710</v>
      </c>
      <c r="D86" s="163" t="s">
        <v>712</v>
      </c>
      <c r="E86" s="174">
        <f>(E75-E78-E78)*E77*E77*E77/3+E76*E78*E78*E78/3*2</f>
        <v>6634656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1049</v>
      </c>
      <c r="M86" s="209" t="s">
        <v>742</v>
      </c>
      <c r="N86" s="224" t="s">
        <v>741</v>
      </c>
      <c r="O86" s="224" t="s">
        <v>1021</v>
      </c>
    </row>
    <row r="87" spans="1:21" ht="18">
      <c r="A87" s="163" t="s">
        <v>713</v>
      </c>
      <c r="B87" s="174">
        <f>B84/(B75/2)</f>
        <v>5582182.170542636</v>
      </c>
      <c r="C87" s="93" t="s">
        <v>714</v>
      </c>
      <c r="D87" s="163" t="s">
        <v>713</v>
      </c>
      <c r="E87" s="174">
        <f>E84/(E75/2)</f>
        <v>4500473.5999999996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0">N77/(0.85*M87)</f>
        <v>#DIV/0!</v>
      </c>
      <c r="O87" s="224" t="e">
        <f t="shared" ref="O87:O92" si="21">IF(N87&lt;1,"OK","NG")</f>
        <v>#DIV/0!</v>
      </c>
    </row>
    <row r="88" spans="1:21" ht="18">
      <c r="A88" s="163" t="s">
        <v>715</v>
      </c>
      <c r="B88" s="174">
        <f>B85/(B76/2)</f>
        <v>1962337.3983739838</v>
      </c>
      <c r="C88" s="93" t="s">
        <v>714</v>
      </c>
      <c r="D88" s="163" t="s">
        <v>715</v>
      </c>
      <c r="E88" s="174">
        <f>E85/(E76/2)</f>
        <v>1531773.6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0"/>
        <v>#DIV/0!</v>
      </c>
      <c r="O88" s="224" t="e">
        <f t="shared" si="21"/>
        <v>#DIV/0!</v>
      </c>
    </row>
    <row r="89" spans="1:21" ht="18">
      <c r="A89" s="163" t="s">
        <v>716</v>
      </c>
      <c r="B89" s="174">
        <f>B76*B75*B75*0.25-(B76-B77)*((B75-2*B78)^2)*0.25</f>
        <v>6316250</v>
      </c>
      <c r="C89" s="93" t="s">
        <v>714</v>
      </c>
      <c r="D89" s="163" t="s">
        <v>716</v>
      </c>
      <c r="E89" s="174">
        <f>E76*E75*E75*0.25-(E76-E77)*(E75-2*E78)^2*0.25</f>
        <v>5041512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0.25679728137001345</v>
      </c>
      <c r="M89" s="177">
        <f>IF(L89&lt;=1.5,(0.658^(L89*L89))*E79*E83/100,0.877/L89/L89*E79*E83/100)</f>
        <v>1000.9540207813874</v>
      </c>
      <c r="N89" s="222">
        <f t="shared" si="20"/>
        <v>0</v>
      </c>
      <c r="O89" s="224" t="str">
        <f t="shared" si="21"/>
        <v>OK</v>
      </c>
      <c r="Q89" s="203"/>
    </row>
    <row r="90" spans="1:21" ht="18.75" thickBot="1">
      <c r="A90" s="165" t="s">
        <v>717</v>
      </c>
      <c r="B90" s="146">
        <f>B78*B76*B76*0.25*2+(B75-2*B78)*B77*B77*0.25</f>
        <v>2977750</v>
      </c>
      <c r="C90" s="166" t="s">
        <v>714</v>
      </c>
      <c r="D90" s="165" t="s">
        <v>717</v>
      </c>
      <c r="E90" s="146">
        <f>E78*E76*E76*0.25*2+(E75-2*E78)*E77*E77*0.25</f>
        <v>2325834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0.25679728137001345</v>
      </c>
      <c r="M90" s="177">
        <f>IF(L90&lt;=1.5,(0.658^(L90*L90))*E79*E83/100,0.877/L90/L90*E79*E83/100)</f>
        <v>1000.9540207813874</v>
      </c>
      <c r="N90" s="222">
        <f t="shared" si="20"/>
        <v>0.18407013271092187</v>
      </c>
      <c r="O90" s="224" t="str">
        <f t="shared" si="21"/>
        <v>OK</v>
      </c>
    </row>
    <row r="91" spans="1:21">
      <c r="A91" s="167" t="s">
        <v>719</v>
      </c>
      <c r="B91" s="168">
        <f>B89*B79/1000</f>
        <v>22233.200000000001</v>
      </c>
      <c r="C91" s="99" t="s">
        <v>721</v>
      </c>
      <c r="D91" s="167" t="s">
        <v>719</v>
      </c>
      <c r="E91" s="168">
        <f>E89*E79/1000</f>
        <v>17746.122239999997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0.24989318591748486</v>
      </c>
      <c r="M91" s="177">
        <f>IF(L91&lt;=1.5,(0.658^(L91*L91))*B79*B83/100,0.877/L91/L91*B79*B83/100)</f>
        <v>1231.0790375942947</v>
      </c>
      <c r="N91" s="222">
        <f t="shared" si="20"/>
        <v>0.29932398134697097</v>
      </c>
      <c r="O91" s="224" t="str">
        <f t="shared" si="21"/>
        <v>OK</v>
      </c>
    </row>
    <row r="92" spans="1:21" ht="16.5" thickBot="1">
      <c r="A92" s="164" t="s">
        <v>720</v>
      </c>
      <c r="B92" s="94">
        <f>0.6*(B75-B78-B78)*B77*B79/10/10</f>
        <v>152.06399999999999</v>
      </c>
      <c r="C92" s="95" t="s">
        <v>722</v>
      </c>
      <c r="D92" s="164" t="s">
        <v>720</v>
      </c>
      <c r="E92" s="94">
        <f>0.6*(E75-E78-E78)*E77*E79/10/10</f>
        <v>138.37824000000001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0.24989318591748486</v>
      </c>
      <c r="M92" s="177">
        <f>IF(L92&lt;=1.5,(0.658^(L92*L92))*B79*B83/100,0.877/L92/L92*B79*B83/100)</f>
        <v>1231.0790375942947</v>
      </c>
      <c r="N92" s="222">
        <f t="shared" si="20"/>
        <v>0.52381696735719918</v>
      </c>
      <c r="O92" s="224" t="str">
        <f t="shared" si="21"/>
        <v>OK</v>
      </c>
    </row>
    <row r="93" spans="1:21" ht="16.5">
      <c r="A93" s="205" t="s">
        <v>745</v>
      </c>
      <c r="B93" s="168">
        <f>B76*0.5/B78</f>
        <v>5.8571428571428568</v>
      </c>
      <c r="C93" s="93"/>
      <c r="D93" s="204" t="s">
        <v>745</v>
      </c>
      <c r="E93" s="168">
        <f>E76*0.5/E78</f>
        <v>7.2321428571428568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1051</v>
      </c>
      <c r="L93" s="250">
        <v>400</v>
      </c>
      <c r="N93" s="225" t="s">
        <v>941</v>
      </c>
    </row>
    <row r="94" spans="1:21" ht="16.5">
      <c r="A94" s="163" t="s">
        <v>746</v>
      </c>
      <c r="B94" s="174">
        <f>25/SQRT(B79)</f>
        <v>13.325044772225652</v>
      </c>
      <c r="C94" s="93"/>
      <c r="D94" s="174" t="s">
        <v>746</v>
      </c>
      <c r="E94" s="174">
        <f>25/SQRT(E79)</f>
        <v>13.325044772225652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>
      <c r="A95" s="163" t="s">
        <v>747</v>
      </c>
      <c r="B95" s="174">
        <f>16/SQRT(B79)</f>
        <v>8.5280286542244177</v>
      </c>
      <c r="C95" s="93"/>
      <c r="D95" s="174" t="s">
        <v>747</v>
      </c>
      <c r="E95" s="174">
        <f>16/SQRT(E79)</f>
        <v>8.5280286542244177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>
      <c r="A96" s="200" t="s">
        <v>748</v>
      </c>
      <c r="B96" s="174">
        <f>(B75-B78-B78)/B77</f>
        <v>18</v>
      </c>
      <c r="C96" s="93"/>
      <c r="D96" s="199" t="s">
        <v>748</v>
      </c>
      <c r="E96" s="174">
        <f>(E75-E78-E78)/E77</f>
        <v>20.222222222222221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>
      <c r="A97" s="163" t="s">
        <v>749</v>
      </c>
      <c r="B97" s="174">
        <f>260/SQRT(B79)</f>
        <v>138.58046563114678</v>
      </c>
      <c r="C97" s="93"/>
      <c r="D97" s="174" t="s">
        <v>749</v>
      </c>
      <c r="E97" s="174">
        <f>260/SQRT(E79)</f>
        <v>138.58046563114678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>
      <c r="A98" s="164" t="s">
        <v>750</v>
      </c>
      <c r="B98" s="94">
        <f>170/SQRT(B79)</f>
        <v>90.610304451134425</v>
      </c>
      <c r="C98" s="95"/>
      <c r="D98" s="94" t="s">
        <v>750</v>
      </c>
      <c r="E98" s="94">
        <f>170/SQRT(E79)</f>
        <v>90.610304451134425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>
      <c r="A99" s="176" t="s">
        <v>928</v>
      </c>
      <c r="B99" s="173">
        <f>14/SQRT(B79)</f>
        <v>7.462025072446365</v>
      </c>
      <c r="D99" s="176" t="s">
        <v>928</v>
      </c>
      <c r="E99" s="173">
        <f>14/SQRT(E79)</f>
        <v>7.462025072446365</v>
      </c>
      <c r="J99" s="62"/>
    </row>
    <row r="100" spans="1:10" ht="16.5" thickBot="1">
      <c r="A100" s="176" t="s">
        <v>929</v>
      </c>
      <c r="B100" s="173">
        <f>138/SQRT(B79)</f>
        <v>73.554247142685597</v>
      </c>
      <c r="D100" s="176" t="s">
        <v>929</v>
      </c>
      <c r="E100" s="173">
        <f>138/SQRT(E79)</f>
        <v>73.554247142685597</v>
      </c>
      <c r="J100" s="62"/>
    </row>
    <row r="101" spans="1:10">
      <c r="E101" s="298" t="s">
        <v>826</v>
      </c>
      <c r="F101" s="299"/>
      <c r="G101" s="300"/>
      <c r="J101" s="62"/>
    </row>
    <row r="102" spans="1:10">
      <c r="E102" s="156" t="s">
        <v>698</v>
      </c>
      <c r="F102" s="157">
        <v>808</v>
      </c>
      <c r="G102" s="158" t="s">
        <v>699</v>
      </c>
      <c r="J102" s="62"/>
    </row>
    <row r="103" spans="1:10">
      <c r="E103" s="156" t="s">
        <v>700</v>
      </c>
      <c r="F103" s="157">
        <v>302</v>
      </c>
      <c r="G103" s="158" t="s">
        <v>699</v>
      </c>
    </row>
    <row r="104" spans="1:10">
      <c r="E104" s="156" t="s">
        <v>701</v>
      </c>
      <c r="F104" s="157">
        <v>16</v>
      </c>
      <c r="G104" s="158" t="s">
        <v>699</v>
      </c>
    </row>
    <row r="105" spans="1:10">
      <c r="E105" s="156" t="s">
        <v>702</v>
      </c>
      <c r="F105" s="157">
        <v>30</v>
      </c>
      <c r="G105" s="158" t="s">
        <v>699</v>
      </c>
    </row>
    <row r="106" spans="1:10">
      <c r="E106" s="156" t="s">
        <v>703</v>
      </c>
      <c r="F106" s="62">
        <v>3.52</v>
      </c>
      <c r="G106" s="158" t="s">
        <v>718</v>
      </c>
    </row>
    <row r="107" spans="1:10">
      <c r="E107" s="156"/>
      <c r="F107" s="62"/>
      <c r="G107" s="158"/>
    </row>
    <row r="108" spans="1:10" ht="16.5">
      <c r="E108" s="162" t="s">
        <v>704</v>
      </c>
      <c r="F108" s="160"/>
      <c r="G108" s="161"/>
    </row>
    <row r="109" spans="1:10">
      <c r="E109" s="163" t="s">
        <v>705</v>
      </c>
      <c r="F109" s="174"/>
      <c r="G109" s="93"/>
    </row>
    <row r="110" spans="1:10" ht="18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>
      <c r="E114" s="163" t="s">
        <v>713</v>
      </c>
      <c r="F114" s="174">
        <f>F111/(F102/2)</f>
        <v>8171553.2409240929</v>
      </c>
      <c r="G114" s="93" t="s">
        <v>714</v>
      </c>
    </row>
    <row r="115" spans="5:7" ht="18">
      <c r="E115" s="163" t="s">
        <v>715</v>
      </c>
      <c r="F115" s="174">
        <f>F112/(F103/2)</f>
        <v>913730.8432671082</v>
      </c>
      <c r="G115" s="93" t="s">
        <v>714</v>
      </c>
    </row>
    <row r="116" spans="5:7" ht="18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>
      <c r="E120" s="168" t="s">
        <v>745</v>
      </c>
      <c r="F120" s="168">
        <f>F103*0.5/F105</f>
        <v>5.0333333333333332</v>
      </c>
      <c r="G120" s="99"/>
    </row>
    <row r="121" spans="5:7">
      <c r="E121" s="174" t="s">
        <v>746</v>
      </c>
      <c r="F121" s="174">
        <f>25/SQRT(F106)</f>
        <v>13.325044772225652</v>
      </c>
      <c r="G121" s="93"/>
    </row>
    <row r="122" spans="5:7">
      <c r="E122" s="174" t="s">
        <v>747</v>
      </c>
      <c r="F122" s="174">
        <f>16/SQRT(F106)</f>
        <v>8.5280286542244177</v>
      </c>
      <c r="G122" s="93"/>
    </row>
    <row r="123" spans="5:7">
      <c r="E123" s="174" t="s">
        <v>748</v>
      </c>
      <c r="F123" s="174">
        <f>(F102-F105-F105)/F104</f>
        <v>46.75</v>
      </c>
      <c r="G123" s="93"/>
    </row>
    <row r="124" spans="5:7">
      <c r="E124" s="174" t="s">
        <v>749</v>
      </c>
      <c r="F124" s="174">
        <f>260/SQRT(F106)</f>
        <v>138.58046563114678</v>
      </c>
      <c r="G124" s="93"/>
    </row>
    <row r="125" spans="5:7" ht="16.5" thickBot="1">
      <c r="E125" s="94" t="s">
        <v>750</v>
      </c>
      <c r="F125" s="94">
        <f>170/SQRT(F106)</f>
        <v>90.610304451134425</v>
      </c>
      <c r="G125" s="95"/>
    </row>
  </sheetData>
  <mergeCells count="20">
    <mergeCell ref="Q9:S9"/>
    <mergeCell ref="G44:I44"/>
    <mergeCell ref="G74:I74"/>
    <mergeCell ref="C34:C36"/>
    <mergeCell ref="C37:C39"/>
    <mergeCell ref="K68:L68"/>
    <mergeCell ref="M65:N65"/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ljleu-pc</cp:lastModifiedBy>
  <cp:lastPrinted>2009-05-21T12:49:04Z</cp:lastPrinted>
  <dcterms:created xsi:type="dcterms:W3CDTF">2009-05-14T11:59:56Z</dcterms:created>
  <dcterms:modified xsi:type="dcterms:W3CDTF">2018-05-22T08:05:43Z</dcterms:modified>
</cp:coreProperties>
</file>