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atlab\10-st\DP2\ref\"/>
    </mc:Choice>
  </mc:AlternateContent>
  <bookViews>
    <workbookView xWindow="0" yWindow="0" windowWidth="20445" windowHeight="7620" activeTab="7"/>
  </bookViews>
  <sheets>
    <sheet name="Sheet4" sheetId="4" r:id="rId1"/>
    <sheet name="Output" sheetId="8" r:id="rId2"/>
    <sheet name="Soil type" sheetId="6" r:id="rId3"/>
    <sheet name="Seismic Zone, Taiwan" sheetId="3" r:id="rId4"/>
    <sheet name="ductility" sheetId="5" r:id="rId5"/>
    <sheet name="Near Fault" sheetId="7" r:id="rId6"/>
    <sheet name="WEIGHT" sheetId="9" r:id="rId7"/>
    <sheet name="EBF" sheetId="10" r:id="rId8"/>
    <sheet name="BRB" sheetId="11" r:id="rId9"/>
    <sheet name="Sheet1" sheetId="12" r:id="rId10"/>
    <sheet name="工作表1" sheetId="13" r:id="rId11"/>
    <sheet name="工作表2" sheetId="14" r:id="rId12"/>
  </sheets>
  <definedNames>
    <definedName name="縣市">#REF!</definedName>
  </definedNames>
  <calcPr calcId="162913"/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2" i="10"/>
  <c r="K1" i="14" l="1"/>
  <c r="L1" i="14" s="1"/>
  <c r="M1" i="14" l="1"/>
  <c r="L201" i="14"/>
  <c r="M201" i="14" s="1"/>
  <c r="L57" i="14"/>
  <c r="M57" i="14" s="1"/>
  <c r="L124" i="14"/>
  <c r="M124" i="14" s="1"/>
  <c r="L31" i="14"/>
  <c r="M31" i="14" s="1"/>
  <c r="L75" i="14"/>
  <c r="M75" i="14" s="1"/>
  <c r="K174" i="14"/>
  <c r="L174" i="14" s="1"/>
  <c r="M174" i="14" s="1"/>
  <c r="K175" i="14"/>
  <c r="L175" i="14" s="1"/>
  <c r="M175" i="14" s="1"/>
  <c r="K176" i="14"/>
  <c r="L176" i="14" s="1"/>
  <c r="M176" i="14" s="1"/>
  <c r="K211" i="14"/>
  <c r="L211" i="14" s="1"/>
  <c r="M211" i="14" s="1"/>
  <c r="K212" i="14"/>
  <c r="L212" i="14" s="1"/>
  <c r="M212" i="14" s="1"/>
  <c r="K213" i="14"/>
  <c r="L213" i="14" s="1"/>
  <c r="M213" i="14" s="1"/>
  <c r="K214" i="14"/>
  <c r="L214" i="14" s="1"/>
  <c r="M214" i="14" s="1"/>
  <c r="K21" i="14"/>
  <c r="L21" i="14" s="1"/>
  <c r="M21" i="14" s="1"/>
  <c r="K22" i="14"/>
  <c r="L22" i="14" s="1"/>
  <c r="M22" i="14" s="1"/>
  <c r="K23" i="14"/>
  <c r="L23" i="14" s="1"/>
  <c r="M23" i="14" s="1"/>
  <c r="K24" i="14"/>
  <c r="L24" i="14" s="1"/>
  <c r="M24" i="14" s="1"/>
  <c r="K59" i="14"/>
  <c r="L59" i="14" s="1"/>
  <c r="M59" i="14" s="1"/>
  <c r="K60" i="14"/>
  <c r="L60" i="14" s="1"/>
  <c r="M60" i="14" s="1"/>
  <c r="K61" i="14"/>
  <c r="L61" i="14" s="1"/>
  <c r="M61" i="14" s="1"/>
  <c r="K62" i="14"/>
  <c r="L62" i="14" s="1"/>
  <c r="M62" i="14" s="1"/>
  <c r="K97" i="14"/>
  <c r="L97" i="14" s="1"/>
  <c r="M97" i="14" s="1"/>
  <c r="K98" i="14"/>
  <c r="L98" i="14" s="1"/>
  <c r="M98" i="14" s="1"/>
  <c r="K99" i="14"/>
  <c r="L99" i="14" s="1"/>
  <c r="M99" i="14" s="1"/>
  <c r="K100" i="14"/>
  <c r="L100" i="14" s="1"/>
  <c r="M100" i="14" s="1"/>
  <c r="K135" i="14"/>
  <c r="L135" i="14" s="1"/>
  <c r="M135" i="14" s="1"/>
  <c r="K136" i="14"/>
  <c r="L136" i="14" s="1"/>
  <c r="M136" i="14" s="1"/>
  <c r="K137" i="14"/>
  <c r="L137" i="14" s="1"/>
  <c r="M137" i="14" s="1"/>
  <c r="K138" i="14"/>
  <c r="L138" i="14" s="1"/>
  <c r="M138" i="14" s="1"/>
  <c r="K89" i="14"/>
  <c r="L89" i="14" s="1"/>
  <c r="M89" i="14" s="1"/>
  <c r="K90" i="14"/>
  <c r="L90" i="14" s="1"/>
  <c r="M90" i="14" s="1"/>
  <c r="K91" i="14"/>
  <c r="L91" i="14" s="1"/>
  <c r="M91" i="14" s="1"/>
  <c r="K92" i="14"/>
  <c r="L92" i="14" s="1"/>
  <c r="M92" i="14" s="1"/>
  <c r="K127" i="14"/>
  <c r="L127" i="14" s="1"/>
  <c r="M127" i="14" s="1"/>
  <c r="K128" i="14"/>
  <c r="L128" i="14" s="1"/>
  <c r="M128" i="14" s="1"/>
  <c r="K129" i="14"/>
  <c r="L129" i="14" s="1"/>
  <c r="M129" i="14" s="1"/>
  <c r="K130" i="14"/>
  <c r="L130" i="14" s="1"/>
  <c r="M130" i="14" s="1"/>
  <c r="K165" i="14"/>
  <c r="L165" i="14" s="1"/>
  <c r="M165" i="14" s="1"/>
  <c r="K166" i="14"/>
  <c r="L166" i="14" s="1"/>
  <c r="M166" i="14" s="1"/>
  <c r="K167" i="14"/>
  <c r="L167" i="14" s="1"/>
  <c r="M167" i="14" s="1"/>
  <c r="K168" i="14"/>
  <c r="L168" i="14" s="1"/>
  <c r="M168" i="14" s="1"/>
  <c r="K203" i="14"/>
  <c r="L203" i="14" s="1"/>
  <c r="M203" i="14" s="1"/>
  <c r="K204" i="14"/>
  <c r="L204" i="14" s="1"/>
  <c r="M204" i="14" s="1"/>
  <c r="K205" i="14"/>
  <c r="L205" i="14" s="1"/>
  <c r="M205" i="14" s="1"/>
  <c r="K206" i="14"/>
  <c r="L206" i="14" s="1"/>
  <c r="M206" i="14" s="1"/>
  <c r="K13" i="14"/>
  <c r="L13" i="14" s="1"/>
  <c r="M13" i="14" s="1"/>
  <c r="K14" i="14"/>
  <c r="L14" i="14" s="1"/>
  <c r="M14" i="14" s="1"/>
  <c r="K15" i="14"/>
  <c r="L15" i="14" s="1"/>
  <c r="M15" i="14" s="1"/>
  <c r="K16" i="14"/>
  <c r="L16" i="14" s="1"/>
  <c r="M16" i="14" s="1"/>
  <c r="K51" i="14"/>
  <c r="L51" i="14" s="1"/>
  <c r="M51" i="14" s="1"/>
  <c r="K52" i="14"/>
  <c r="L52" i="14" s="1"/>
  <c r="M52" i="14" s="1"/>
  <c r="K53" i="14"/>
  <c r="L53" i="14" s="1"/>
  <c r="M53" i="14" s="1"/>
  <c r="K54" i="14"/>
  <c r="L54" i="14" s="1"/>
  <c r="M54" i="14" s="1"/>
  <c r="K177" i="14"/>
  <c r="L177" i="14" s="1"/>
  <c r="M177" i="14" s="1"/>
  <c r="K178" i="14"/>
  <c r="L178" i="14" s="1"/>
  <c r="M178" i="14" s="1"/>
  <c r="K179" i="14"/>
  <c r="L179" i="14" s="1"/>
  <c r="M179" i="14" s="1"/>
  <c r="K180" i="14"/>
  <c r="L180" i="14" s="1"/>
  <c r="M180" i="14" s="1"/>
  <c r="K215" i="14"/>
  <c r="L215" i="14" s="1"/>
  <c r="M215" i="14" s="1"/>
  <c r="K216" i="14"/>
  <c r="L216" i="14" s="1"/>
  <c r="M216" i="14" s="1"/>
  <c r="K217" i="14"/>
  <c r="L217" i="14" s="1"/>
  <c r="M217" i="14" s="1"/>
  <c r="K218" i="14"/>
  <c r="L218" i="14" s="1"/>
  <c r="M218" i="14" s="1"/>
  <c r="K101" i="14"/>
  <c r="L101" i="14" s="1"/>
  <c r="M101" i="14" s="1"/>
  <c r="K102" i="14"/>
  <c r="L102" i="14" s="1"/>
  <c r="M102" i="14" s="1"/>
  <c r="K103" i="14"/>
  <c r="L103" i="14" s="1"/>
  <c r="M103" i="14" s="1"/>
  <c r="K104" i="14"/>
  <c r="L104" i="14" s="1"/>
  <c r="M104" i="14" s="1"/>
  <c r="K105" i="14"/>
  <c r="L105" i="14" s="1"/>
  <c r="M105" i="14" s="1"/>
  <c r="K106" i="14"/>
  <c r="L106" i="14" s="1"/>
  <c r="M106" i="14" s="1"/>
  <c r="K107" i="14"/>
  <c r="L107" i="14" s="1"/>
  <c r="M107" i="14" s="1"/>
  <c r="K108" i="14"/>
  <c r="L108" i="14" s="1"/>
  <c r="M108" i="14" s="1"/>
  <c r="K77" i="14"/>
  <c r="L77" i="14" s="1"/>
  <c r="M77" i="14" s="1"/>
  <c r="K78" i="14"/>
  <c r="L78" i="14" s="1"/>
  <c r="M78" i="14" s="1"/>
  <c r="K79" i="14"/>
  <c r="L79" i="14" s="1"/>
  <c r="M79" i="14" s="1"/>
  <c r="K80" i="14"/>
  <c r="L80" i="14" s="1"/>
  <c r="M80" i="14" s="1"/>
  <c r="K93" i="14"/>
  <c r="L93" i="14" s="1"/>
  <c r="M93" i="14" s="1"/>
  <c r="K94" i="14"/>
  <c r="L94" i="14" s="1"/>
  <c r="M94" i="14" s="1"/>
  <c r="K95" i="14"/>
  <c r="L95" i="14" s="1"/>
  <c r="M95" i="14" s="1"/>
  <c r="K96" i="14"/>
  <c r="L96" i="14" s="1"/>
  <c r="M96" i="14" s="1"/>
  <c r="K139" i="14"/>
  <c r="L139" i="14" s="1"/>
  <c r="M139" i="14" s="1"/>
  <c r="K140" i="14"/>
  <c r="L140" i="14" s="1"/>
  <c r="M140" i="14" s="1"/>
  <c r="K141" i="14"/>
  <c r="L141" i="14" s="1"/>
  <c r="M141" i="14" s="1"/>
  <c r="K142" i="14"/>
  <c r="L142" i="14" s="1"/>
  <c r="M142" i="14" s="1"/>
  <c r="K143" i="14"/>
  <c r="L143" i="14" s="1"/>
  <c r="M143" i="14" s="1"/>
  <c r="K144" i="14"/>
  <c r="L144" i="14" s="1"/>
  <c r="M144" i="14" s="1"/>
  <c r="K145" i="14"/>
  <c r="L145" i="14" s="1"/>
  <c r="M145" i="14" s="1"/>
  <c r="K146" i="14"/>
  <c r="L146" i="14" s="1"/>
  <c r="M146" i="14" s="1"/>
  <c r="K115" i="14"/>
  <c r="L115" i="14" s="1"/>
  <c r="M115" i="14" s="1"/>
  <c r="K116" i="14"/>
  <c r="L116" i="14" s="1"/>
  <c r="M116" i="14" s="1"/>
  <c r="K117" i="14"/>
  <c r="L117" i="14" s="1"/>
  <c r="M117" i="14" s="1"/>
  <c r="K118" i="14"/>
  <c r="L118" i="14" s="1"/>
  <c r="M118" i="14" s="1"/>
  <c r="K131" i="14"/>
  <c r="L131" i="14" s="1"/>
  <c r="M131" i="14" s="1"/>
  <c r="K132" i="14"/>
  <c r="L132" i="14" s="1"/>
  <c r="M132" i="14" s="1"/>
  <c r="K133" i="14"/>
  <c r="L133" i="14" s="1"/>
  <c r="M133" i="14" s="1"/>
  <c r="K134" i="14"/>
  <c r="L134" i="14" s="1"/>
  <c r="M134" i="14" s="1"/>
  <c r="K153" i="14"/>
  <c r="L153" i="14" s="1"/>
  <c r="M153" i="14" s="1"/>
  <c r="K154" i="14"/>
  <c r="L154" i="14" s="1"/>
  <c r="M154" i="14" s="1"/>
  <c r="K191" i="14"/>
  <c r="L191" i="14" s="1"/>
  <c r="M191" i="14" s="1"/>
  <c r="K192" i="14"/>
  <c r="L192" i="14" s="1"/>
  <c r="M192" i="14" s="1"/>
  <c r="K155" i="14"/>
  <c r="L155" i="14" s="1"/>
  <c r="M155" i="14" s="1"/>
  <c r="K156" i="14"/>
  <c r="L156" i="14" s="1"/>
  <c r="M156" i="14" s="1"/>
  <c r="K193" i="14"/>
  <c r="L193" i="14" s="1"/>
  <c r="M193" i="14" s="1"/>
  <c r="K194" i="14"/>
  <c r="L194" i="14" s="1"/>
  <c r="M194" i="14" s="1"/>
  <c r="K181" i="14"/>
  <c r="L181" i="14" s="1"/>
  <c r="M181" i="14" s="1"/>
  <c r="K182" i="14"/>
  <c r="L182" i="14" s="1"/>
  <c r="M182" i="14" s="1"/>
  <c r="K183" i="14"/>
  <c r="L183" i="14" s="1"/>
  <c r="M183" i="14" s="1"/>
  <c r="K184" i="14"/>
  <c r="L184" i="14" s="1"/>
  <c r="M184" i="14" s="1"/>
  <c r="K169" i="14"/>
  <c r="L169" i="14" s="1"/>
  <c r="M169" i="14" s="1"/>
  <c r="K170" i="14"/>
  <c r="L170" i="14" s="1"/>
  <c r="M170" i="14" s="1"/>
  <c r="K171" i="14"/>
  <c r="L171" i="14" s="1"/>
  <c r="M171" i="14" s="1"/>
  <c r="K172" i="14"/>
  <c r="L172" i="14" s="1"/>
  <c r="M172" i="14" s="1"/>
  <c r="K219" i="14"/>
  <c r="L219" i="14" s="1"/>
  <c r="M219" i="14" s="1"/>
  <c r="K220" i="14"/>
  <c r="L220" i="14" s="1"/>
  <c r="M220" i="14" s="1"/>
  <c r="K221" i="14"/>
  <c r="L221" i="14" s="1"/>
  <c r="M221" i="14" s="1"/>
  <c r="K222" i="14"/>
  <c r="L222" i="14" s="1"/>
  <c r="M222" i="14" s="1"/>
  <c r="K207" i="14"/>
  <c r="L207" i="14" s="1"/>
  <c r="M207" i="14" s="1"/>
  <c r="K208" i="14"/>
  <c r="L208" i="14" s="1"/>
  <c r="M208" i="14" s="1"/>
  <c r="K209" i="14"/>
  <c r="L209" i="14" s="1"/>
  <c r="M209" i="14" s="1"/>
  <c r="K210" i="14"/>
  <c r="L210" i="14" s="1"/>
  <c r="M210" i="14" s="1"/>
  <c r="K2" i="14"/>
  <c r="L2" i="14" s="1"/>
  <c r="M2" i="14" s="1"/>
  <c r="K39" i="14"/>
  <c r="L39" i="14" s="1"/>
  <c r="M39" i="14" s="1"/>
  <c r="K40" i="14"/>
  <c r="L40" i="14" s="1"/>
  <c r="M40" i="14" s="1"/>
  <c r="K3" i="14"/>
  <c r="L3" i="14" s="1"/>
  <c r="M3" i="14" s="1"/>
  <c r="K4" i="14"/>
  <c r="L4" i="14" s="1"/>
  <c r="M4" i="14" s="1"/>
  <c r="K41" i="14"/>
  <c r="L41" i="14" s="1"/>
  <c r="M41" i="14" s="1"/>
  <c r="K42" i="14"/>
  <c r="L42" i="14" s="1"/>
  <c r="M42" i="14" s="1"/>
  <c r="K157" i="14"/>
  <c r="L157" i="14" s="1"/>
  <c r="M157" i="14" s="1"/>
  <c r="K158" i="14"/>
  <c r="L158" i="14" s="1"/>
  <c r="M158" i="14" s="1"/>
  <c r="K159" i="14"/>
  <c r="L159" i="14" s="1"/>
  <c r="M159" i="14" s="1"/>
  <c r="K160" i="14"/>
  <c r="L160" i="14" s="1"/>
  <c r="M160" i="14" s="1"/>
  <c r="K161" i="14"/>
  <c r="L161" i="14" s="1"/>
  <c r="M161" i="14" s="1"/>
  <c r="K162" i="14"/>
  <c r="L162" i="14" s="1"/>
  <c r="M162" i="14" s="1"/>
  <c r="K163" i="14"/>
  <c r="L163" i="14" s="1"/>
  <c r="M163" i="14" s="1"/>
  <c r="K164" i="14"/>
  <c r="L164" i="14" s="1"/>
  <c r="M164" i="14" s="1"/>
  <c r="K195" i="14"/>
  <c r="L195" i="14" s="1"/>
  <c r="M195" i="14" s="1"/>
  <c r="K196" i="14"/>
  <c r="L196" i="14" s="1"/>
  <c r="M196" i="14" s="1"/>
  <c r="K197" i="14"/>
  <c r="L197" i="14" s="1"/>
  <c r="M197" i="14" s="1"/>
  <c r="K198" i="14"/>
  <c r="L198" i="14" s="1"/>
  <c r="M198" i="14" s="1"/>
  <c r="K199" i="14"/>
  <c r="L199" i="14" s="1"/>
  <c r="M199" i="14" s="1"/>
  <c r="K200" i="14"/>
  <c r="L200" i="14" s="1"/>
  <c r="M200" i="14" s="1"/>
  <c r="K201" i="14"/>
  <c r="K202" i="14"/>
  <c r="L202" i="14" s="1"/>
  <c r="M202" i="14" s="1"/>
  <c r="K25" i="14"/>
  <c r="L25" i="14" s="1"/>
  <c r="M25" i="14" s="1"/>
  <c r="K26" i="14"/>
  <c r="L26" i="14" s="1"/>
  <c r="M26" i="14" s="1"/>
  <c r="K27" i="14"/>
  <c r="L27" i="14" s="1"/>
  <c r="M27" i="14" s="1"/>
  <c r="K28" i="14"/>
  <c r="L28" i="14" s="1"/>
  <c r="M28" i="14" s="1"/>
  <c r="K17" i="14"/>
  <c r="L17" i="14" s="1"/>
  <c r="M17" i="14" s="1"/>
  <c r="K18" i="14"/>
  <c r="L18" i="14" s="1"/>
  <c r="M18" i="14" s="1"/>
  <c r="K19" i="14"/>
  <c r="L19" i="14" s="1"/>
  <c r="M19" i="14" s="1"/>
  <c r="K20" i="14"/>
  <c r="L20" i="14" s="1"/>
  <c r="M20" i="14" s="1"/>
  <c r="K63" i="14"/>
  <c r="L63" i="14" s="1"/>
  <c r="M63" i="14" s="1"/>
  <c r="K64" i="14"/>
  <c r="L64" i="14" s="1"/>
  <c r="M64" i="14" s="1"/>
  <c r="K65" i="14"/>
  <c r="L65" i="14" s="1"/>
  <c r="M65" i="14" s="1"/>
  <c r="K66" i="14"/>
  <c r="L66" i="14" s="1"/>
  <c r="M66" i="14" s="1"/>
  <c r="K55" i="14"/>
  <c r="L55" i="14" s="1"/>
  <c r="M55" i="14" s="1"/>
  <c r="K56" i="14"/>
  <c r="L56" i="14" s="1"/>
  <c r="M56" i="14" s="1"/>
  <c r="K57" i="14"/>
  <c r="K58" i="14"/>
  <c r="L58" i="14" s="1"/>
  <c r="M58" i="14" s="1"/>
  <c r="K81" i="14"/>
  <c r="L81" i="14" s="1"/>
  <c r="M81" i="14" s="1"/>
  <c r="K82" i="14"/>
  <c r="L82" i="14" s="1"/>
  <c r="M82" i="14" s="1"/>
  <c r="K83" i="14"/>
  <c r="L83" i="14" s="1"/>
  <c r="M83" i="14" s="1"/>
  <c r="K84" i="14"/>
  <c r="L84" i="14" s="1"/>
  <c r="M84" i="14" s="1"/>
  <c r="K85" i="14"/>
  <c r="L85" i="14" s="1"/>
  <c r="M85" i="14" s="1"/>
  <c r="K86" i="14"/>
  <c r="L86" i="14" s="1"/>
  <c r="M86" i="14" s="1"/>
  <c r="K87" i="14"/>
  <c r="L87" i="14" s="1"/>
  <c r="M87" i="14" s="1"/>
  <c r="K88" i="14"/>
  <c r="L88" i="14" s="1"/>
  <c r="M88" i="14" s="1"/>
  <c r="K119" i="14"/>
  <c r="L119" i="14" s="1"/>
  <c r="M119" i="14" s="1"/>
  <c r="K120" i="14"/>
  <c r="L120" i="14" s="1"/>
  <c r="M120" i="14" s="1"/>
  <c r="K121" i="14"/>
  <c r="L121" i="14" s="1"/>
  <c r="M121" i="14" s="1"/>
  <c r="K122" i="14"/>
  <c r="L122" i="14" s="1"/>
  <c r="M122" i="14" s="1"/>
  <c r="K123" i="14"/>
  <c r="L123" i="14" s="1"/>
  <c r="M123" i="14" s="1"/>
  <c r="K124" i="14"/>
  <c r="K125" i="14"/>
  <c r="L125" i="14" s="1"/>
  <c r="M125" i="14" s="1"/>
  <c r="K126" i="14"/>
  <c r="L126" i="14" s="1"/>
  <c r="M126" i="14" s="1"/>
  <c r="K5" i="14"/>
  <c r="L5" i="14" s="1"/>
  <c r="M5" i="14" s="1"/>
  <c r="K6" i="14"/>
  <c r="L6" i="14" s="1"/>
  <c r="M6" i="14" s="1"/>
  <c r="K7" i="14"/>
  <c r="L7" i="14" s="1"/>
  <c r="M7" i="14" s="1"/>
  <c r="K8" i="14"/>
  <c r="L8" i="14" s="1"/>
  <c r="M8" i="14" s="1"/>
  <c r="K9" i="14"/>
  <c r="L9" i="14" s="1"/>
  <c r="M9" i="14" s="1"/>
  <c r="K10" i="14"/>
  <c r="L10" i="14" s="1"/>
  <c r="M10" i="14" s="1"/>
  <c r="K11" i="14"/>
  <c r="L11" i="14" s="1"/>
  <c r="M11" i="14" s="1"/>
  <c r="K12" i="14"/>
  <c r="L12" i="14" s="1"/>
  <c r="M12" i="14" s="1"/>
  <c r="K43" i="14"/>
  <c r="L43" i="14" s="1"/>
  <c r="M43" i="14" s="1"/>
  <c r="K44" i="14"/>
  <c r="L44" i="14" s="1"/>
  <c r="M44" i="14" s="1"/>
  <c r="K45" i="14"/>
  <c r="L45" i="14" s="1"/>
  <c r="M45" i="14" s="1"/>
  <c r="K46" i="14"/>
  <c r="L46" i="14" s="1"/>
  <c r="M46" i="14" s="1"/>
  <c r="K47" i="14"/>
  <c r="L47" i="14" s="1"/>
  <c r="M47" i="14" s="1"/>
  <c r="K48" i="14"/>
  <c r="L48" i="14" s="1"/>
  <c r="M48" i="14" s="1"/>
  <c r="K49" i="14"/>
  <c r="L49" i="14" s="1"/>
  <c r="M49" i="14" s="1"/>
  <c r="K50" i="14"/>
  <c r="L50" i="14" s="1"/>
  <c r="M50" i="14" s="1"/>
  <c r="K185" i="14"/>
  <c r="L185" i="14" s="1"/>
  <c r="M185" i="14" s="1"/>
  <c r="K186" i="14"/>
  <c r="L186" i="14" s="1"/>
  <c r="M186" i="14" s="1"/>
  <c r="K187" i="14"/>
  <c r="L187" i="14" s="1"/>
  <c r="M187" i="14" s="1"/>
  <c r="K188" i="14"/>
  <c r="L188" i="14" s="1"/>
  <c r="M188" i="14" s="1"/>
  <c r="K189" i="14"/>
  <c r="L189" i="14" s="1"/>
  <c r="M189" i="14" s="1"/>
  <c r="K190" i="14"/>
  <c r="L190" i="14" s="1"/>
  <c r="M190" i="14" s="1"/>
  <c r="K223" i="14"/>
  <c r="L223" i="14" s="1"/>
  <c r="M223" i="14" s="1"/>
  <c r="K224" i="14"/>
  <c r="L224" i="14" s="1"/>
  <c r="M224" i="14" s="1"/>
  <c r="K225" i="14"/>
  <c r="L225" i="14" s="1"/>
  <c r="M225" i="14" s="1"/>
  <c r="K226" i="14"/>
  <c r="L226" i="14" s="1"/>
  <c r="M226" i="14" s="1"/>
  <c r="K227" i="14"/>
  <c r="L227" i="14" s="1"/>
  <c r="M227" i="14" s="1"/>
  <c r="K228" i="14"/>
  <c r="L228" i="14" s="1"/>
  <c r="M228" i="14" s="1"/>
  <c r="K29" i="14"/>
  <c r="L29" i="14" s="1"/>
  <c r="M29" i="14" s="1"/>
  <c r="K30" i="14"/>
  <c r="L30" i="14" s="1"/>
  <c r="M30" i="14" s="1"/>
  <c r="K31" i="14"/>
  <c r="K32" i="14"/>
  <c r="L32" i="14" s="1"/>
  <c r="M32" i="14" s="1"/>
  <c r="K33" i="14"/>
  <c r="L33" i="14" s="1"/>
  <c r="M33" i="14" s="1"/>
  <c r="K34" i="14"/>
  <c r="L34" i="14" s="1"/>
  <c r="M34" i="14" s="1"/>
  <c r="K35" i="14"/>
  <c r="L35" i="14" s="1"/>
  <c r="M35" i="14" s="1"/>
  <c r="K36" i="14"/>
  <c r="L36" i="14" s="1"/>
  <c r="M36" i="14" s="1"/>
  <c r="K37" i="14"/>
  <c r="L37" i="14" s="1"/>
  <c r="M37" i="14" s="1"/>
  <c r="K38" i="14"/>
  <c r="L38" i="14" s="1"/>
  <c r="M38" i="14" s="1"/>
  <c r="K67" i="14"/>
  <c r="L67" i="14" s="1"/>
  <c r="M67" i="14" s="1"/>
  <c r="K68" i="14"/>
  <c r="L68" i="14" s="1"/>
  <c r="M68" i="14" s="1"/>
  <c r="K69" i="14"/>
  <c r="L69" i="14" s="1"/>
  <c r="M69" i="14" s="1"/>
  <c r="K70" i="14"/>
  <c r="L70" i="14" s="1"/>
  <c r="M70" i="14" s="1"/>
  <c r="K71" i="14"/>
  <c r="L71" i="14" s="1"/>
  <c r="M71" i="14" s="1"/>
  <c r="K72" i="14"/>
  <c r="L72" i="14" s="1"/>
  <c r="M72" i="14" s="1"/>
  <c r="K73" i="14"/>
  <c r="L73" i="14" s="1"/>
  <c r="M73" i="14" s="1"/>
  <c r="K74" i="14"/>
  <c r="L74" i="14" s="1"/>
  <c r="M74" i="14" s="1"/>
  <c r="K75" i="14"/>
  <c r="K76" i="14"/>
  <c r="L76" i="14" s="1"/>
  <c r="M76" i="14" s="1"/>
  <c r="K109" i="14"/>
  <c r="L109" i="14" s="1"/>
  <c r="M109" i="14" s="1"/>
  <c r="K110" i="14"/>
  <c r="L110" i="14" s="1"/>
  <c r="M110" i="14" s="1"/>
  <c r="K111" i="14"/>
  <c r="L111" i="14" s="1"/>
  <c r="M111" i="14" s="1"/>
  <c r="K112" i="14"/>
  <c r="L112" i="14" s="1"/>
  <c r="M112" i="14" s="1"/>
  <c r="K113" i="14"/>
  <c r="L113" i="14" s="1"/>
  <c r="M113" i="14" s="1"/>
  <c r="K114" i="14"/>
  <c r="L114" i="14" s="1"/>
  <c r="M114" i="14" s="1"/>
  <c r="K147" i="14"/>
  <c r="L147" i="14" s="1"/>
  <c r="M147" i="14" s="1"/>
  <c r="K148" i="14"/>
  <c r="L148" i="14" s="1"/>
  <c r="M148" i="14" s="1"/>
  <c r="K149" i="14"/>
  <c r="L149" i="14" s="1"/>
  <c r="M149" i="14" s="1"/>
  <c r="K150" i="14"/>
  <c r="L150" i="14" s="1"/>
  <c r="M150" i="14" s="1"/>
  <c r="K151" i="14"/>
  <c r="L151" i="14" s="1"/>
  <c r="M151" i="14" s="1"/>
  <c r="K152" i="14"/>
  <c r="L152" i="14" s="1"/>
  <c r="M152" i="14" s="1"/>
  <c r="K173" i="14"/>
  <c r="L173" i="14" s="1"/>
  <c r="M173" i="14" s="1"/>
  <c r="F115" i="11"/>
  <c r="F114" i="11"/>
  <c r="F113" i="11"/>
  <c r="F112" i="11"/>
  <c r="F111" i="11"/>
  <c r="F110" i="11"/>
  <c r="F109" i="11"/>
  <c r="F107" i="11"/>
  <c r="F106" i="11"/>
  <c r="F108" i="11" s="1"/>
  <c r="F103" i="11"/>
  <c r="F102" i="11"/>
  <c r="F105" i="11" s="1"/>
  <c r="F101" i="11"/>
  <c r="F104" i="11" s="1"/>
  <c r="F100" i="11"/>
  <c r="N10" i="14" l="1"/>
  <c r="O10" i="14" s="1"/>
  <c r="P10" i="14" s="1"/>
  <c r="N3" i="14"/>
  <c r="O3" i="14" s="1"/>
  <c r="N9" i="14"/>
  <c r="O9" i="14" s="1"/>
  <c r="N5" i="14"/>
  <c r="O5" i="14" s="1"/>
  <c r="N6" i="14"/>
  <c r="O6" i="14" s="1"/>
  <c r="P6" i="14" s="1"/>
  <c r="N11" i="14"/>
  <c r="O11" i="14" s="1"/>
  <c r="P11" i="14" s="1"/>
  <c r="N1" i="14"/>
  <c r="O1" i="14" s="1"/>
  <c r="N2" i="14"/>
  <c r="O2" i="14" s="1"/>
  <c r="N7" i="14"/>
  <c r="O7" i="14" s="1"/>
  <c r="P7" i="14" s="1"/>
  <c r="X73" i="11"/>
  <c r="X74" i="11" s="1"/>
  <c r="V73" i="11"/>
  <c r="V74" i="11" s="1"/>
  <c r="T73" i="11"/>
  <c r="T74" i="11" s="1"/>
  <c r="R73" i="11"/>
  <c r="R74" i="11" s="1"/>
  <c r="U30" i="11"/>
  <c r="U31" i="11" s="1"/>
  <c r="S30" i="11"/>
  <c r="S31" i="11" s="1"/>
  <c r="Q30" i="11"/>
  <c r="Q31" i="11" s="1"/>
  <c r="O30" i="11"/>
  <c r="O31" i="11" s="1"/>
  <c r="K10" i="11"/>
  <c r="K21" i="11" s="1"/>
  <c r="K11" i="11"/>
  <c r="K22" i="11" s="1"/>
  <c r="G2" i="11"/>
  <c r="M21" i="11" s="1"/>
  <c r="G3" i="11"/>
  <c r="M22" i="11" s="1"/>
  <c r="G7" i="11"/>
  <c r="M26" i="11" s="1"/>
  <c r="H88" i="11"/>
  <c r="H87" i="11"/>
  <c r="H86" i="11"/>
  <c r="H85" i="11"/>
  <c r="H84" i="11"/>
  <c r="H83" i="11"/>
  <c r="H82" i="11"/>
  <c r="H80" i="11"/>
  <c r="H79" i="11"/>
  <c r="H81" i="11" s="1"/>
  <c r="H76" i="11"/>
  <c r="H75" i="11"/>
  <c r="H78" i="11" s="1"/>
  <c r="H74" i="11"/>
  <c r="H77" i="11" s="1"/>
  <c r="H73" i="11"/>
  <c r="H61" i="11"/>
  <c r="H60" i="11"/>
  <c r="H59" i="11"/>
  <c r="H58" i="11"/>
  <c r="H57" i="11"/>
  <c r="H56" i="11"/>
  <c r="H55" i="11"/>
  <c r="H53" i="11"/>
  <c r="H52" i="11"/>
  <c r="H54" i="11" s="1"/>
  <c r="H49" i="11"/>
  <c r="H48" i="11"/>
  <c r="H51" i="11" s="1"/>
  <c r="H47" i="11"/>
  <c r="H50" i="11" s="1"/>
  <c r="H46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K12" i="11"/>
  <c r="L12" i="11"/>
  <c r="K13" i="11"/>
  <c r="L13" i="11" s="1"/>
  <c r="K14" i="11"/>
  <c r="L14" i="11"/>
  <c r="K15" i="11"/>
  <c r="L15" i="11" s="1"/>
  <c r="AA76" i="10"/>
  <c r="AA77" i="10" s="1"/>
  <c r="Y76" i="10"/>
  <c r="Y77" i="10" s="1"/>
  <c r="W76" i="10"/>
  <c r="W77" i="10" s="1"/>
  <c r="U76" i="10"/>
  <c r="U77" i="10" s="1"/>
  <c r="U78" i="10"/>
  <c r="AA46" i="10"/>
  <c r="AA47" i="10" s="1"/>
  <c r="Y46" i="10"/>
  <c r="Y47" i="10" s="1"/>
  <c r="W46" i="10"/>
  <c r="W47" i="10" s="1"/>
  <c r="U46" i="10"/>
  <c r="U47" i="10" s="1"/>
  <c r="U50" i="10"/>
  <c r="U48" i="10"/>
  <c r="U49" i="10" s="1"/>
  <c r="O8" i="14" l="1"/>
  <c r="P8" i="14" s="1"/>
  <c r="P5" i="14"/>
  <c r="P9" i="14"/>
  <c r="O12" i="14"/>
  <c r="P12" i="14" s="1"/>
  <c r="O4" i="14"/>
  <c r="P4" i="14" s="1"/>
  <c r="O56" i="11"/>
  <c r="M84" i="11"/>
  <c r="N84" i="11" s="1"/>
  <c r="O84" i="11" s="1"/>
  <c r="K84" i="11" s="1"/>
  <c r="P84" i="11" s="1"/>
  <c r="M85" i="11"/>
  <c r="N85" i="11" s="1"/>
  <c r="M56" i="11"/>
  <c r="N56" i="11" s="1"/>
  <c r="L11" i="11"/>
  <c r="L10" i="11"/>
  <c r="O55" i="11"/>
  <c r="M55" i="11"/>
  <c r="N55" i="11" s="1"/>
  <c r="H89" i="10" l="1"/>
  <c r="H88" i="10"/>
  <c r="H87" i="10"/>
  <c r="H86" i="10"/>
  <c r="H85" i="10"/>
  <c r="H84" i="10"/>
  <c r="H83" i="10"/>
  <c r="H81" i="10"/>
  <c r="H80" i="10"/>
  <c r="H82" i="10" s="1"/>
  <c r="H77" i="10"/>
  <c r="H76" i="10"/>
  <c r="H79" i="10" s="1"/>
  <c r="H75" i="10"/>
  <c r="H78" i="10" s="1"/>
  <c r="H74" i="10"/>
  <c r="H61" i="10"/>
  <c r="H60" i="10"/>
  <c r="H59" i="10"/>
  <c r="H58" i="10"/>
  <c r="H57" i="10"/>
  <c r="H56" i="10"/>
  <c r="H55" i="10"/>
  <c r="H53" i="10"/>
  <c r="H52" i="10"/>
  <c r="H54" i="10" s="1"/>
  <c r="H49" i="10"/>
  <c r="H48" i="10"/>
  <c r="H51" i="10" s="1"/>
  <c r="H47" i="10"/>
  <c r="H50" i="10" s="1"/>
  <c r="H46" i="10"/>
  <c r="AA11" i="10"/>
  <c r="AA12" i="10" s="1"/>
  <c r="Y11" i="10"/>
  <c r="Y12" i="10" s="1"/>
  <c r="W11" i="10"/>
  <c r="W12" i="10" s="1"/>
  <c r="U11" i="10"/>
  <c r="U12" i="10" s="1"/>
  <c r="U13" i="10"/>
  <c r="H34" i="10"/>
  <c r="H33" i="10"/>
  <c r="H32" i="10"/>
  <c r="H31" i="10"/>
  <c r="H30" i="10"/>
  <c r="H29" i="10"/>
  <c r="H28" i="10"/>
  <c r="H26" i="10"/>
  <c r="H25" i="10"/>
  <c r="H27" i="10" s="1"/>
  <c r="H22" i="10"/>
  <c r="H21" i="10"/>
  <c r="H20" i="10"/>
  <c r="H19" i="10"/>
  <c r="Q47" i="10"/>
  <c r="AC67" i="10" s="1"/>
  <c r="Q48" i="10"/>
  <c r="AC68" i="10" s="1"/>
  <c r="Q49" i="10"/>
  <c r="AC69" i="10" s="1"/>
  <c r="Q50" i="10"/>
  <c r="AC70" i="10" s="1"/>
  <c r="Q51" i="10"/>
  <c r="AC71" i="10" s="1"/>
  <c r="B70" i="9"/>
  <c r="D80" i="9"/>
  <c r="D81" i="9"/>
  <c r="C66" i="9"/>
  <c r="C65" i="9"/>
  <c r="C64" i="9"/>
  <c r="C63" i="9"/>
  <c r="C62" i="9"/>
  <c r="C61" i="9"/>
  <c r="H18" i="9"/>
  <c r="I18" i="9" s="1"/>
  <c r="H17" i="9"/>
  <c r="I17" i="9" s="1"/>
  <c r="H16" i="9"/>
  <c r="I16" i="9" s="1"/>
  <c r="H15" i="9"/>
  <c r="I15" i="9" s="1"/>
  <c r="G13" i="9"/>
  <c r="I20" i="9" s="1"/>
  <c r="H7" i="9"/>
  <c r="I7" i="9" s="1"/>
  <c r="H6" i="9"/>
  <c r="I6" i="9" s="1"/>
  <c r="H5" i="9"/>
  <c r="I5" i="9" s="1"/>
  <c r="H4" i="9"/>
  <c r="I4" i="9" s="1"/>
  <c r="G2" i="9"/>
  <c r="I9" i="9" s="1"/>
  <c r="B36" i="9"/>
  <c r="C41" i="9"/>
  <c r="C40" i="9"/>
  <c r="C39" i="9"/>
  <c r="C38" i="9"/>
  <c r="B25" i="9"/>
  <c r="C30" i="9"/>
  <c r="C29" i="9"/>
  <c r="C28" i="9"/>
  <c r="C27" i="9"/>
  <c r="B14" i="9"/>
  <c r="C17" i="9"/>
  <c r="C18" i="9"/>
  <c r="C19" i="9"/>
  <c r="C16" i="9"/>
  <c r="C5" i="9"/>
  <c r="C6" i="9"/>
  <c r="C7" i="9"/>
  <c r="C4" i="9"/>
  <c r="B2" i="9"/>
  <c r="Q46" i="10"/>
  <c r="AC66" i="10" s="1"/>
  <c r="N36" i="10" l="1"/>
  <c r="O28" i="10"/>
  <c r="H24" i="10"/>
  <c r="O29" i="10"/>
  <c r="P29" i="10" s="1"/>
  <c r="P28" i="10"/>
  <c r="O20" i="10"/>
  <c r="Q20" i="10" s="1"/>
  <c r="O21" i="10"/>
  <c r="Q21" i="10" s="1"/>
  <c r="H23" i="10"/>
  <c r="Q28" i="10"/>
  <c r="Q29" i="10"/>
  <c r="Q60" i="10"/>
  <c r="Q59" i="10"/>
  <c r="O91" i="10"/>
  <c r="P91" i="10" s="1"/>
  <c r="R76" i="10" s="1"/>
  <c r="O59" i="10"/>
  <c r="P59" i="10" s="1"/>
  <c r="Q11" i="10"/>
  <c r="Q12" i="10" s="1"/>
  <c r="O47" i="10"/>
  <c r="R47" i="10" s="1"/>
  <c r="O46" i="10"/>
  <c r="R46" i="10" s="1"/>
  <c r="O92" i="10"/>
  <c r="P92" i="10" s="1"/>
  <c r="R77" i="10" s="1"/>
  <c r="O60" i="10"/>
  <c r="P60" i="10" s="1"/>
  <c r="S11" i="10"/>
  <c r="S12" i="10"/>
  <c r="I21" i="9"/>
  <c r="B53" i="9" s="1"/>
  <c r="B63" i="9" s="1"/>
  <c r="I10" i="9"/>
  <c r="B52" i="9" s="1"/>
  <c r="B62" i="9" s="1"/>
  <c r="I5" i="12"/>
  <c r="J5" i="12" s="1"/>
  <c r="I4" i="12"/>
  <c r="J4" i="12" s="1"/>
  <c r="I3" i="12"/>
  <c r="J3" i="12" s="1"/>
  <c r="I2" i="12"/>
  <c r="J2" i="12" s="1"/>
  <c r="X77" i="11"/>
  <c r="X78" i="11" s="1"/>
  <c r="X75" i="11"/>
  <c r="X76" i="11" s="1"/>
  <c r="V77" i="11"/>
  <c r="V78" i="11" s="1"/>
  <c r="V75" i="11"/>
  <c r="V76" i="11" s="1"/>
  <c r="T77" i="11"/>
  <c r="T78" i="11" s="1"/>
  <c r="T75" i="11"/>
  <c r="T76" i="11" s="1"/>
  <c r="R77" i="11"/>
  <c r="R78" i="11" s="1"/>
  <c r="R75" i="11"/>
  <c r="R76" i="11" s="1"/>
  <c r="U34" i="11"/>
  <c r="U35" i="11" s="1"/>
  <c r="U32" i="11"/>
  <c r="U33" i="11" s="1"/>
  <c r="S34" i="11"/>
  <c r="S35" i="11" s="1"/>
  <c r="S32" i="11"/>
  <c r="S33" i="11" s="1"/>
  <c r="Q34" i="11"/>
  <c r="Q35" i="11" s="1"/>
  <c r="Q32" i="11"/>
  <c r="Q33" i="11" s="1"/>
  <c r="O34" i="11"/>
  <c r="O35" i="11" s="1"/>
  <c r="O32" i="11"/>
  <c r="O33" i="11" s="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0" i="11"/>
  <c r="B80" i="11"/>
  <c r="E79" i="11"/>
  <c r="E81" i="11" s="1"/>
  <c r="B79" i="11"/>
  <c r="B81" i="11" s="1"/>
  <c r="E76" i="11"/>
  <c r="B76" i="11"/>
  <c r="E75" i="11"/>
  <c r="E78" i="11" s="1"/>
  <c r="B75" i="11"/>
  <c r="B78" i="11" s="1"/>
  <c r="E74" i="11"/>
  <c r="E77" i="11" s="1"/>
  <c r="B74" i="11"/>
  <c r="B77" i="11" s="1"/>
  <c r="E73" i="11"/>
  <c r="B73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3" i="11"/>
  <c r="B53" i="11"/>
  <c r="E52" i="11"/>
  <c r="E54" i="11" s="1"/>
  <c r="B52" i="11"/>
  <c r="B54" i="11" s="1"/>
  <c r="E49" i="11"/>
  <c r="B49" i="11"/>
  <c r="E48" i="11"/>
  <c r="B48" i="11"/>
  <c r="B51" i="11" s="1"/>
  <c r="E47" i="11"/>
  <c r="E50" i="11" s="1"/>
  <c r="B47" i="11"/>
  <c r="B50" i="11" s="1"/>
  <c r="E46" i="11"/>
  <c r="B46" i="11"/>
  <c r="L17" i="11"/>
  <c r="M6" i="11"/>
  <c r="G6" i="11"/>
  <c r="M25" i="11" s="1"/>
  <c r="G5" i="11"/>
  <c r="G4" i="11"/>
  <c r="E1" i="11"/>
  <c r="G9" i="11" s="1"/>
  <c r="AA80" i="10"/>
  <c r="AA81" i="10" s="1"/>
  <c r="Y80" i="10"/>
  <c r="Y81" i="10" s="1"/>
  <c r="W80" i="10"/>
  <c r="U80" i="10"/>
  <c r="AA78" i="10"/>
  <c r="AA79" i="10" s="1"/>
  <c r="Y78" i="10"/>
  <c r="Y79" i="10" s="1"/>
  <c r="W78" i="10"/>
  <c r="W79" i="10" s="1"/>
  <c r="U79" i="10"/>
  <c r="E89" i="10"/>
  <c r="B89" i="10"/>
  <c r="E88" i="10"/>
  <c r="B88" i="10"/>
  <c r="E87" i="10"/>
  <c r="B87" i="10"/>
  <c r="E86" i="10"/>
  <c r="B86" i="10"/>
  <c r="E85" i="10"/>
  <c r="B85" i="10"/>
  <c r="E84" i="10"/>
  <c r="B84" i="10"/>
  <c r="E83" i="10"/>
  <c r="B83" i="10"/>
  <c r="E81" i="10"/>
  <c r="B81" i="10"/>
  <c r="E80" i="10"/>
  <c r="E82" i="10" s="1"/>
  <c r="B80" i="10"/>
  <c r="B82" i="10" s="1"/>
  <c r="E77" i="10"/>
  <c r="B77" i="10"/>
  <c r="E76" i="10"/>
  <c r="E79" i="10" s="1"/>
  <c r="B76" i="10"/>
  <c r="B79" i="10" s="1"/>
  <c r="E75" i="10"/>
  <c r="E78" i="10" s="1"/>
  <c r="B75" i="10"/>
  <c r="B78" i="10" s="1"/>
  <c r="E74" i="10"/>
  <c r="B74" i="10"/>
  <c r="W81" i="10"/>
  <c r="U81" i="10"/>
  <c r="Z79" i="10"/>
  <c r="Z80" i="10" s="1"/>
  <c r="Z81" i="10" s="1"/>
  <c r="X79" i="10"/>
  <c r="X80" i="10" s="1"/>
  <c r="X81" i="10" s="1"/>
  <c r="V79" i="10"/>
  <c r="V80" i="10" s="1"/>
  <c r="V81" i="10" s="1"/>
  <c r="E34" i="10"/>
  <c r="B34" i="10"/>
  <c r="E33" i="10"/>
  <c r="B33" i="10"/>
  <c r="E32" i="10"/>
  <c r="B32" i="10"/>
  <c r="E31" i="10"/>
  <c r="B31" i="10"/>
  <c r="E30" i="10"/>
  <c r="B30" i="10"/>
  <c r="E29" i="10"/>
  <c r="B29" i="10"/>
  <c r="E61" i="10"/>
  <c r="E60" i="10"/>
  <c r="E59" i="10"/>
  <c r="E58" i="10"/>
  <c r="E57" i="10"/>
  <c r="E56" i="10"/>
  <c r="B61" i="10"/>
  <c r="B60" i="10"/>
  <c r="B59" i="10"/>
  <c r="B58" i="10"/>
  <c r="B57" i="10"/>
  <c r="B56" i="10"/>
  <c r="AA50" i="10"/>
  <c r="AA51" i="10" s="1"/>
  <c r="Y50" i="10"/>
  <c r="W50" i="10"/>
  <c r="V49" i="10"/>
  <c r="V50" i="10" s="1"/>
  <c r="V51" i="10" s="1"/>
  <c r="X49" i="10"/>
  <c r="X50" i="10" s="1"/>
  <c r="X51" i="10" s="1"/>
  <c r="Z49" i="10"/>
  <c r="AA48" i="10"/>
  <c r="AA49" i="10" s="1"/>
  <c r="Y48" i="10"/>
  <c r="Y49" i="10" s="1"/>
  <c r="W48" i="10"/>
  <c r="W49" i="10" s="1"/>
  <c r="E55" i="10"/>
  <c r="B55" i="10"/>
  <c r="E53" i="10"/>
  <c r="B53" i="10"/>
  <c r="E52" i="10"/>
  <c r="E54" i="10" s="1"/>
  <c r="B52" i="10"/>
  <c r="B54" i="10" s="1"/>
  <c r="E49" i="10"/>
  <c r="B49" i="10"/>
  <c r="E48" i="10"/>
  <c r="E51" i="10" s="1"/>
  <c r="B48" i="10"/>
  <c r="B51" i="10" s="1"/>
  <c r="E47" i="10"/>
  <c r="E50" i="10" s="1"/>
  <c r="B47" i="10"/>
  <c r="B50" i="10" s="1"/>
  <c r="E46" i="10"/>
  <c r="B46" i="10"/>
  <c r="B28" i="10"/>
  <c r="O25" i="10" s="1"/>
  <c r="E28" i="10"/>
  <c r="B25" i="10"/>
  <c r="B27" i="10" s="1"/>
  <c r="AA15" i="10"/>
  <c r="AA16" i="10" s="1"/>
  <c r="Y15" i="10"/>
  <c r="Y16" i="10" s="1"/>
  <c r="W15" i="10"/>
  <c r="W16" i="10" s="1"/>
  <c r="U15" i="10"/>
  <c r="U16" i="10" s="1"/>
  <c r="V14" i="10"/>
  <c r="V15" i="10" s="1"/>
  <c r="V16" i="10" s="1"/>
  <c r="X14" i="10"/>
  <c r="X15" i="10" s="1"/>
  <c r="X16" i="10" s="1"/>
  <c r="Z14" i="10"/>
  <c r="Z15" i="10" s="1"/>
  <c r="Z16" i="10" s="1"/>
  <c r="AA13" i="10"/>
  <c r="AA14" i="10" s="1"/>
  <c r="Y13" i="10"/>
  <c r="Y14" i="10" s="1"/>
  <c r="W13" i="10"/>
  <c r="W14" i="10" s="1"/>
  <c r="U14" i="10"/>
  <c r="O10" i="10"/>
  <c r="E26" i="10"/>
  <c r="E25" i="10"/>
  <c r="E27" i="10" s="1"/>
  <c r="E22" i="10"/>
  <c r="E21" i="10"/>
  <c r="E20" i="10"/>
  <c r="E23" i="10" s="1"/>
  <c r="E19" i="10"/>
  <c r="B19" i="10"/>
  <c r="B20" i="10"/>
  <c r="B23" i="10" s="1"/>
  <c r="B21" i="10"/>
  <c r="B24" i="10" s="1"/>
  <c r="B22" i="10"/>
  <c r="B26" i="10"/>
  <c r="B1" i="10"/>
  <c r="B1" i="11" s="1"/>
  <c r="C1" i="10"/>
  <c r="C1" i="11" s="1"/>
  <c r="C130" i="9"/>
  <c r="E130" i="9" s="1"/>
  <c r="C129" i="9"/>
  <c r="E129" i="9" s="1"/>
  <c r="C128" i="9"/>
  <c r="E128" i="9" s="1"/>
  <c r="C127" i="9"/>
  <c r="E127" i="9" s="1"/>
  <c r="I124" i="9"/>
  <c r="I123" i="9"/>
  <c r="I122" i="9"/>
  <c r="I121" i="9"/>
  <c r="F124" i="9"/>
  <c r="F123" i="9"/>
  <c r="F122" i="9"/>
  <c r="F121" i="9"/>
  <c r="A121" i="9"/>
  <c r="A2" i="10" s="1"/>
  <c r="A122" i="9"/>
  <c r="A4" i="10" s="1"/>
  <c r="A123" i="9"/>
  <c r="A5" i="10" s="1"/>
  <c r="A124" i="9"/>
  <c r="A130" i="9" s="1"/>
  <c r="A120" i="9"/>
  <c r="A126" i="9" s="1"/>
  <c r="D85" i="9"/>
  <c r="D84" i="9"/>
  <c r="D83" i="9"/>
  <c r="D82" i="9"/>
  <c r="C112" i="9"/>
  <c r="C113" i="9"/>
  <c r="C108" i="9"/>
  <c r="C109" i="9"/>
  <c r="C110" i="9"/>
  <c r="C111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D36" i="4"/>
  <c r="B36" i="4"/>
  <c r="C11" i="4"/>
  <c r="C10" i="8"/>
  <c r="C16" i="4"/>
  <c r="B10" i="8" s="1"/>
  <c r="B11" i="8"/>
  <c r="D41" i="9"/>
  <c r="D40" i="9"/>
  <c r="D39" i="9"/>
  <c r="D38" i="9"/>
  <c r="D43" i="9"/>
  <c r="D30" i="9"/>
  <c r="D29" i="9"/>
  <c r="D28" i="9"/>
  <c r="D27" i="9"/>
  <c r="D32" i="9"/>
  <c r="D19" i="9"/>
  <c r="D18" i="9"/>
  <c r="D17" i="9"/>
  <c r="D16" i="9"/>
  <c r="D21" i="9"/>
  <c r="D10" i="9"/>
  <c r="B9" i="9"/>
  <c r="D7" i="9"/>
  <c r="D5" i="9"/>
  <c r="D4" i="9"/>
  <c r="C32" i="8"/>
  <c r="C33" i="8"/>
  <c r="C13" i="8"/>
  <c r="B9" i="8"/>
  <c r="C7" i="8"/>
  <c r="B6" i="8"/>
  <c r="B16" i="8"/>
  <c r="C20" i="8" s="1"/>
  <c r="N37" i="10" l="1"/>
  <c r="O36" i="10"/>
  <c r="P22" i="11"/>
  <c r="L31" i="11" s="1"/>
  <c r="O22" i="11"/>
  <c r="P21" i="11"/>
  <c r="L30" i="11" s="1"/>
  <c r="O21" i="11"/>
  <c r="O57" i="11"/>
  <c r="E51" i="11"/>
  <c r="M58" i="11"/>
  <c r="N22" i="11"/>
  <c r="S22" i="11" s="1"/>
  <c r="N21" i="11"/>
  <c r="S21" i="11" s="1"/>
  <c r="M23" i="11"/>
  <c r="M24" i="11"/>
  <c r="P77" i="10"/>
  <c r="P76" i="10"/>
  <c r="P47" i="10"/>
  <c r="O77" i="10"/>
  <c r="O22" i="10"/>
  <c r="O48" i="10"/>
  <c r="O93" i="10"/>
  <c r="P93" i="10" s="1"/>
  <c r="O63" i="10"/>
  <c r="P63" i="10" s="1"/>
  <c r="O61" i="10"/>
  <c r="O76" i="10"/>
  <c r="P46" i="10"/>
  <c r="S13" i="10"/>
  <c r="S14" i="10"/>
  <c r="S15" i="10"/>
  <c r="S16" i="10"/>
  <c r="Q13" i="10"/>
  <c r="Q22" i="10"/>
  <c r="O24" i="10"/>
  <c r="Q24" i="10" s="1"/>
  <c r="Q15" i="10"/>
  <c r="O32" i="10"/>
  <c r="P32" i="10" s="1"/>
  <c r="E24" i="10"/>
  <c r="O30" i="10"/>
  <c r="P30" i="10" s="1"/>
  <c r="A7" i="10"/>
  <c r="N16" i="10" s="1"/>
  <c r="N11" i="10"/>
  <c r="N14" i="10"/>
  <c r="N13" i="10"/>
  <c r="A129" i="9"/>
  <c r="O33" i="10"/>
  <c r="P33" i="10" s="1"/>
  <c r="K23" i="11"/>
  <c r="N23" i="11" s="1"/>
  <c r="S23" i="11" s="1"/>
  <c r="A128" i="9"/>
  <c r="K24" i="11"/>
  <c r="A127" i="9"/>
  <c r="A1" i="10"/>
  <c r="K26" i="11"/>
  <c r="N26" i="11" s="1"/>
  <c r="S26" i="11" s="1"/>
  <c r="O31" i="10"/>
  <c r="P31" i="10" s="1"/>
  <c r="M88" i="11"/>
  <c r="N88" i="11" s="1"/>
  <c r="M89" i="11"/>
  <c r="N89" i="11" s="1"/>
  <c r="M86" i="11"/>
  <c r="N86" i="11" s="1"/>
  <c r="M87" i="11"/>
  <c r="N87" i="11" s="1"/>
  <c r="O59" i="11"/>
  <c r="O60" i="11"/>
  <c r="M59" i="11"/>
  <c r="N59" i="11" s="1"/>
  <c r="M60" i="11"/>
  <c r="N60" i="11" s="1"/>
  <c r="O58" i="11"/>
  <c r="M57" i="11"/>
  <c r="N57" i="11" s="1"/>
  <c r="N58" i="11"/>
  <c r="Q63" i="10"/>
  <c r="O64" i="10"/>
  <c r="P64" i="10" s="1"/>
  <c r="Q64" i="10"/>
  <c r="Q32" i="10"/>
  <c r="Q33" i="10"/>
  <c r="Q61" i="10"/>
  <c r="O62" i="10"/>
  <c r="P62" i="10" s="1"/>
  <c r="Q62" i="10"/>
  <c r="P61" i="10"/>
  <c r="Q30" i="10"/>
  <c r="Q31" i="10"/>
  <c r="O95" i="10"/>
  <c r="P95" i="10" s="1"/>
  <c r="R80" i="10" s="1"/>
  <c r="O96" i="10"/>
  <c r="P96" i="10" s="1"/>
  <c r="O94" i="10"/>
  <c r="P94" i="10" s="1"/>
  <c r="R79" i="10" s="1"/>
  <c r="O49" i="10"/>
  <c r="O79" i="10" s="1"/>
  <c r="O51" i="10"/>
  <c r="O81" i="10" s="1"/>
  <c r="O23" i="10"/>
  <c r="Q23" i="10" s="1"/>
  <c r="Q25" i="10"/>
  <c r="O50" i="10"/>
  <c r="O80" i="10" s="1"/>
  <c r="Z50" i="10"/>
  <c r="Y51" i="10"/>
  <c r="W51" i="10"/>
  <c r="U51" i="10"/>
  <c r="D44" i="9"/>
  <c r="B56" i="9" s="1"/>
  <c r="B66" i="9" s="1"/>
  <c r="D22" i="9"/>
  <c r="B54" i="9" s="1"/>
  <c r="B64" i="9" s="1"/>
  <c r="D9" i="9"/>
  <c r="D11" i="9" s="1"/>
  <c r="B51" i="9" s="1"/>
  <c r="D33" i="9"/>
  <c r="B55" i="9" s="1"/>
  <c r="B65" i="9" s="1"/>
  <c r="F25" i="8"/>
  <c r="D25" i="8"/>
  <c r="B25" i="8"/>
  <c r="A25" i="8"/>
  <c r="E25" i="8"/>
  <c r="C25" i="8"/>
  <c r="F20" i="8"/>
  <c r="D20" i="8"/>
  <c r="B20" i="8"/>
  <c r="A20" i="8"/>
  <c r="E20" i="8"/>
  <c r="B6" i="4"/>
  <c r="C5" i="8" s="1"/>
  <c r="C6" i="4"/>
  <c r="D5" i="8" s="1"/>
  <c r="D6" i="4"/>
  <c r="E5" i="8" s="1"/>
  <c r="E6" i="4"/>
  <c r="F5" i="8" s="1"/>
  <c r="B12" i="8" s="1"/>
  <c r="A6" i="4"/>
  <c r="B5" i="8" s="1"/>
  <c r="C3" i="4"/>
  <c r="C3" i="8" s="1"/>
  <c r="B3" i="4"/>
  <c r="B3" i="8" s="1"/>
  <c r="C9" i="4"/>
  <c r="C8" i="8" s="1"/>
  <c r="H85" i="7"/>
  <c r="H83" i="7"/>
  <c r="H80" i="7"/>
  <c r="H78" i="7"/>
  <c r="H72" i="7"/>
  <c r="H70" i="7"/>
  <c r="H67" i="7"/>
  <c r="H65" i="7"/>
  <c r="H60" i="7"/>
  <c r="H58" i="7"/>
  <c r="H55" i="7"/>
  <c r="H53" i="7"/>
  <c r="H48" i="7"/>
  <c r="H46" i="7"/>
  <c r="H43" i="7"/>
  <c r="H41" i="7"/>
  <c r="H35" i="7"/>
  <c r="H33" i="7"/>
  <c r="H30" i="7"/>
  <c r="H28" i="7"/>
  <c r="H23" i="7"/>
  <c r="H21" i="7"/>
  <c r="H18" i="7"/>
  <c r="H16" i="7"/>
  <c r="H11" i="7"/>
  <c r="H9" i="7"/>
  <c r="H6" i="7"/>
  <c r="H4" i="7"/>
  <c r="U21" i="11" l="1"/>
  <c r="K30" i="11"/>
  <c r="O73" i="11" s="1"/>
  <c r="P73" i="11"/>
  <c r="Q74" i="11" s="1"/>
  <c r="U22" i="11"/>
  <c r="K31" i="11"/>
  <c r="O74" i="11" s="1"/>
  <c r="P74" i="11"/>
  <c r="Q76" i="10"/>
  <c r="S76" i="10" s="1"/>
  <c r="M76" i="10" s="1"/>
  <c r="AB76" i="10" s="1"/>
  <c r="Q77" i="10"/>
  <c r="S77" i="10" s="1"/>
  <c r="M77" i="10" s="1"/>
  <c r="AB77" i="10" s="1"/>
  <c r="P20" i="10"/>
  <c r="S46" i="10"/>
  <c r="R59" i="10" s="1"/>
  <c r="M59" i="10" s="1"/>
  <c r="S59" i="10" s="1"/>
  <c r="P21" i="10"/>
  <c r="S47" i="10"/>
  <c r="R60" i="10" s="1"/>
  <c r="M60" i="10" s="1"/>
  <c r="S60" i="10" s="1"/>
  <c r="O78" i="10"/>
  <c r="P48" i="10"/>
  <c r="Q16" i="10"/>
  <c r="Q14" i="10"/>
  <c r="F53" i="9"/>
  <c r="B77" i="9"/>
  <c r="C77" i="9" s="1"/>
  <c r="D77" i="9" s="1"/>
  <c r="D46" i="9"/>
  <c r="P24" i="11"/>
  <c r="L33" i="11" s="1"/>
  <c r="O24" i="11"/>
  <c r="K33" i="11" s="1"/>
  <c r="N24" i="11"/>
  <c r="S24" i="11" s="1"/>
  <c r="K25" i="11"/>
  <c r="O26" i="11"/>
  <c r="P26" i="11"/>
  <c r="L35" i="11" s="1"/>
  <c r="O23" i="11"/>
  <c r="P23" i="11"/>
  <c r="L32" i="11" s="1"/>
  <c r="N10" i="10"/>
  <c r="A1" i="11"/>
  <c r="R81" i="10"/>
  <c r="R78" i="10"/>
  <c r="Z51" i="10"/>
  <c r="P51" i="10"/>
  <c r="R51" i="10"/>
  <c r="P81" i="10" s="1"/>
  <c r="P50" i="10"/>
  <c r="R50" i="10"/>
  <c r="R48" i="10"/>
  <c r="P49" i="10"/>
  <c r="R49" i="10"/>
  <c r="P79" i="10" s="1"/>
  <c r="B61" i="9"/>
  <c r="B75" i="9"/>
  <c r="Q79" i="10" l="1"/>
  <c r="S79" i="10" s="1"/>
  <c r="M79" i="10" s="1"/>
  <c r="AB79" i="10" s="1"/>
  <c r="Q81" i="10"/>
  <c r="S81" i="10" s="1"/>
  <c r="M31" i="11"/>
  <c r="N30" i="11"/>
  <c r="Q75" i="11"/>
  <c r="O85" i="11"/>
  <c r="K85" i="11" s="1"/>
  <c r="P85" i="11" s="1"/>
  <c r="M30" i="11"/>
  <c r="P55" i="11" s="1"/>
  <c r="K55" i="11" s="1"/>
  <c r="Q55" i="11" s="1"/>
  <c r="R21" i="10"/>
  <c r="R29" i="10" s="1"/>
  <c r="M29" i="10" s="1"/>
  <c r="S29" i="10" s="1"/>
  <c r="N31" i="11"/>
  <c r="R20" i="10"/>
  <c r="R28" i="10" s="1"/>
  <c r="M28" i="10" s="1"/>
  <c r="S28" i="10" s="1"/>
  <c r="P78" i="10"/>
  <c r="Q78" i="10" s="1"/>
  <c r="S78" i="10" s="1"/>
  <c r="M78" i="10" s="1"/>
  <c r="AB78" i="10" s="1"/>
  <c r="P80" i="10"/>
  <c r="Q80" i="10" s="1"/>
  <c r="B74" i="9"/>
  <c r="K74" i="9" s="1"/>
  <c r="F63" i="9"/>
  <c r="K77" i="9"/>
  <c r="U23" i="11"/>
  <c r="K32" i="11"/>
  <c r="O75" i="11" s="1"/>
  <c r="P78" i="11"/>
  <c r="U26" i="11"/>
  <c r="K35" i="11"/>
  <c r="O78" i="11" s="1"/>
  <c r="O25" i="11"/>
  <c r="K34" i="11" s="1"/>
  <c r="P25" i="11"/>
  <c r="L34" i="11" s="1"/>
  <c r="N25" i="11"/>
  <c r="S25" i="11" s="1"/>
  <c r="U24" i="11"/>
  <c r="O76" i="11"/>
  <c r="P75" i="11"/>
  <c r="P76" i="11"/>
  <c r="S49" i="10"/>
  <c r="R62" i="10" s="1"/>
  <c r="P23" i="10"/>
  <c r="S48" i="10"/>
  <c r="R61" i="10" s="1"/>
  <c r="P22" i="10"/>
  <c r="S50" i="10"/>
  <c r="R63" i="10" s="1"/>
  <c r="P24" i="10"/>
  <c r="S51" i="10"/>
  <c r="P25" i="10"/>
  <c r="E77" i="9"/>
  <c r="G77" i="9"/>
  <c r="C75" i="9"/>
  <c r="D75" i="9" s="1"/>
  <c r="K75" i="9"/>
  <c r="B76" i="9"/>
  <c r="D47" i="9"/>
  <c r="F67" i="9" s="1"/>
  <c r="D48" i="9"/>
  <c r="H68" i="9" s="1"/>
  <c r="E24" i="4"/>
  <c r="B23" i="4"/>
  <c r="E27" i="4"/>
  <c r="E26" i="4"/>
  <c r="E25" i="4"/>
  <c r="P56" i="11" l="1"/>
  <c r="K56" i="11" s="1"/>
  <c r="Q56" i="11" s="1"/>
  <c r="Q76" i="11"/>
  <c r="Q77" i="11" s="1"/>
  <c r="O86" i="11"/>
  <c r="K86" i="11" s="1"/>
  <c r="P86" i="11" s="1"/>
  <c r="O87" i="11"/>
  <c r="K87" i="11" s="1"/>
  <c r="P87" i="11" s="1"/>
  <c r="M33" i="11"/>
  <c r="N33" i="11"/>
  <c r="S80" i="10"/>
  <c r="M80" i="10" s="1"/>
  <c r="AB80" i="10" s="1"/>
  <c r="M63" i="10"/>
  <c r="S63" i="10" s="1"/>
  <c r="H67" i="9"/>
  <c r="D64" i="9" s="1"/>
  <c r="C74" i="9"/>
  <c r="D74" i="9" s="1"/>
  <c r="G74" i="9" s="1"/>
  <c r="D62" i="9"/>
  <c r="B3" i="11" s="1"/>
  <c r="D65" i="9"/>
  <c r="B6" i="11" s="1"/>
  <c r="D66" i="9"/>
  <c r="B124" i="9" s="1"/>
  <c r="B7" i="11" s="1"/>
  <c r="P77" i="11"/>
  <c r="U25" i="11"/>
  <c r="O77" i="11"/>
  <c r="M32" i="11"/>
  <c r="N35" i="11"/>
  <c r="N32" i="11"/>
  <c r="M35" i="11"/>
  <c r="R25" i="10"/>
  <c r="R33" i="10" s="1"/>
  <c r="M33" i="10" s="1"/>
  <c r="S33" i="10" s="1"/>
  <c r="R24" i="10"/>
  <c r="R22" i="10"/>
  <c r="R30" i="10" s="1"/>
  <c r="M30" i="10" s="1"/>
  <c r="S30" i="10" s="1"/>
  <c r="R23" i="10"/>
  <c r="R31" i="10" s="1"/>
  <c r="M31" i="10" s="1"/>
  <c r="S31" i="10" s="1"/>
  <c r="M81" i="10"/>
  <c r="AB81" i="10" s="1"/>
  <c r="M62" i="10"/>
  <c r="S62" i="10" s="1"/>
  <c r="M61" i="10"/>
  <c r="S61" i="10" s="1"/>
  <c r="R64" i="10"/>
  <c r="M64" i="10" s="1"/>
  <c r="S64" i="10" s="1"/>
  <c r="K76" i="9"/>
  <c r="C76" i="9"/>
  <c r="D76" i="9" s="1"/>
  <c r="E74" i="9"/>
  <c r="F77" i="9"/>
  <c r="I77" i="9" s="1"/>
  <c r="H77" i="9"/>
  <c r="D54" i="9"/>
  <c r="F68" i="9"/>
  <c r="E75" i="9"/>
  <c r="G75" i="9"/>
  <c r="B30" i="4"/>
  <c r="I5" i="6" s="1"/>
  <c r="E30" i="4" s="1"/>
  <c r="E15" i="8"/>
  <c r="B31" i="4"/>
  <c r="H14" i="6" s="1"/>
  <c r="G14" i="8"/>
  <c r="B32" i="4"/>
  <c r="I15" i="6" s="1"/>
  <c r="G15" i="8"/>
  <c r="B29" i="4"/>
  <c r="H5" i="6" s="1"/>
  <c r="E29" i="4" s="1"/>
  <c r="E14" i="8"/>
  <c r="I7" i="6"/>
  <c r="H15" i="6" l="1"/>
  <c r="I14" i="6" s="1"/>
  <c r="D63" i="9"/>
  <c r="R32" i="10"/>
  <c r="M32" i="10" s="1"/>
  <c r="S32" i="10" s="1"/>
  <c r="O88" i="11"/>
  <c r="K88" i="11" s="1"/>
  <c r="P88" i="11" s="1"/>
  <c r="Q78" i="11"/>
  <c r="O89" i="11" s="1"/>
  <c r="K89" i="11" s="1"/>
  <c r="P89" i="11" s="1"/>
  <c r="P58" i="11"/>
  <c r="K58" i="11" s="1"/>
  <c r="Q58" i="11" s="1"/>
  <c r="N34" i="11"/>
  <c r="F64" i="9"/>
  <c r="D61" i="9" s="1"/>
  <c r="B121" i="9" s="1"/>
  <c r="C121" i="9" s="1"/>
  <c r="D121" i="9" s="1"/>
  <c r="G121" i="9" s="1"/>
  <c r="D52" i="9"/>
  <c r="D55" i="9"/>
  <c r="D56" i="9"/>
  <c r="D53" i="9"/>
  <c r="B122" i="9"/>
  <c r="B4" i="11" s="1"/>
  <c r="P57" i="11"/>
  <c r="K57" i="11" s="1"/>
  <c r="Q57" i="11" s="1"/>
  <c r="P60" i="11"/>
  <c r="K60" i="11" s="1"/>
  <c r="Q60" i="11" s="1"/>
  <c r="M34" i="11"/>
  <c r="F75" i="9"/>
  <c r="I75" i="9" s="1"/>
  <c r="H75" i="9"/>
  <c r="H74" i="9"/>
  <c r="F74" i="9"/>
  <c r="I74" i="9" s="1"/>
  <c r="G76" i="9"/>
  <c r="E76" i="9"/>
  <c r="H7" i="6"/>
  <c r="H29" i="4"/>
  <c r="G26" i="8" s="1"/>
  <c r="D26" i="8"/>
  <c r="H6" i="6"/>
  <c r="B26" i="8"/>
  <c r="I13" i="6"/>
  <c r="E32" i="4" s="1"/>
  <c r="B29" i="8"/>
  <c r="H13" i="6"/>
  <c r="E31" i="4" s="1"/>
  <c r="B28" i="8"/>
  <c r="I6" i="6"/>
  <c r="B27" i="8"/>
  <c r="H30" i="4"/>
  <c r="D27" i="8"/>
  <c r="P59" i="11" l="1"/>
  <c r="K59" i="11" s="1"/>
  <c r="Q59" i="11" s="1"/>
  <c r="D51" i="9"/>
  <c r="F54" i="9" s="1"/>
  <c r="C2" i="10"/>
  <c r="C3" i="10" s="1"/>
  <c r="C122" i="9"/>
  <c r="D122" i="9" s="1"/>
  <c r="G122" i="9" s="1"/>
  <c r="B123" i="9"/>
  <c r="C123" i="9" s="1"/>
  <c r="D123" i="9" s="1"/>
  <c r="G123" i="9" s="1"/>
  <c r="F76" i="9"/>
  <c r="I76" i="9" s="1"/>
  <c r="H76" i="9"/>
  <c r="H31" i="4"/>
  <c r="B38" i="4" s="1"/>
  <c r="D28" i="8"/>
  <c r="G27" i="8"/>
  <c r="H32" i="4"/>
  <c r="D29" i="8"/>
  <c r="C4" i="10" l="1"/>
  <c r="C4" i="11" s="1"/>
  <c r="D4" i="11" s="1"/>
  <c r="E4" i="11" s="1"/>
  <c r="G12" i="11" s="1"/>
  <c r="D3" i="10"/>
  <c r="E3" i="10" s="1"/>
  <c r="B2" i="11"/>
  <c r="C124" i="9"/>
  <c r="D124" i="9" s="1"/>
  <c r="G124" i="9" s="1"/>
  <c r="B5" i="11"/>
  <c r="C2" i="11"/>
  <c r="D2" i="11" s="1"/>
  <c r="D2" i="10"/>
  <c r="E2" i="10" s="1"/>
  <c r="O11" i="10" s="1"/>
  <c r="P11" i="10" s="1"/>
  <c r="M11" i="10" s="1"/>
  <c r="D38" i="4"/>
  <c r="G29" i="8"/>
  <c r="B39" i="4"/>
  <c r="G28" i="8"/>
  <c r="B40" i="4"/>
  <c r="E2" i="11" l="1"/>
  <c r="G10" i="11" s="1"/>
  <c r="C5" i="10"/>
  <c r="C5" i="11" s="1"/>
  <c r="D5" i="11" s="1"/>
  <c r="E5" i="11" s="1"/>
  <c r="G13" i="11" s="1"/>
  <c r="D4" i="10"/>
  <c r="E4" i="10" s="1"/>
  <c r="O13" i="10" s="1"/>
  <c r="P13" i="10" s="1"/>
  <c r="M13" i="10" s="1"/>
  <c r="D40" i="4"/>
  <c r="D37" i="4" s="1"/>
  <c r="E37" i="4" s="1"/>
  <c r="B37" i="4"/>
  <c r="B42" i="4" s="1"/>
  <c r="C3" i="11"/>
  <c r="D3" i="11" s="1"/>
  <c r="O12" i="10"/>
  <c r="P12" i="10" s="1"/>
  <c r="M12" i="10" s="1"/>
  <c r="D41" i="4"/>
  <c r="D39" i="4"/>
  <c r="B33" i="8"/>
  <c r="B32" i="8"/>
  <c r="D42" i="4" l="1"/>
  <c r="D46" i="4" s="1"/>
  <c r="D49" i="4" s="1"/>
  <c r="D45" i="4"/>
  <c r="D43" i="4"/>
  <c r="M12" i="11"/>
  <c r="M10" i="11"/>
  <c r="E3" i="11"/>
  <c r="G11" i="11" s="1"/>
  <c r="C6" i="11"/>
  <c r="D6" i="11" s="1"/>
  <c r="E6" i="11" s="1"/>
  <c r="D5" i="10"/>
  <c r="E5" i="10" s="1"/>
  <c r="O14" i="10" s="1"/>
  <c r="P14" i="10" s="1"/>
  <c r="M14" i="10" s="1"/>
  <c r="C37" i="4"/>
  <c r="C31" i="8" s="1"/>
  <c r="B31" i="8"/>
  <c r="B43" i="4"/>
  <c r="I54" i="8" s="1"/>
  <c r="B41" i="4"/>
  <c r="B35" i="8" s="1"/>
  <c r="B45" i="4"/>
  <c r="I76" i="8" s="1"/>
  <c r="D44" i="4"/>
  <c r="D47" i="4" s="1"/>
  <c r="B36" i="8"/>
  <c r="B44" i="4" l="1"/>
  <c r="B47" i="4" s="1"/>
  <c r="B46" i="4"/>
  <c r="B49" i="4" s="1"/>
  <c r="M13" i="11"/>
  <c r="M11" i="11"/>
  <c r="G14" i="11"/>
  <c r="M14" i="11" s="1"/>
  <c r="D6" i="10"/>
  <c r="E6" i="10" s="1"/>
  <c r="O15" i="10" s="1"/>
  <c r="P15" i="10" s="1"/>
  <c r="M15" i="10" s="1"/>
  <c r="C7" i="10"/>
  <c r="B48" i="4"/>
  <c r="H71" i="8" s="1"/>
  <c r="D48" i="4"/>
  <c r="D50" i="4" s="1"/>
  <c r="H82" i="8"/>
  <c r="I77" i="8"/>
  <c r="H66" i="8"/>
  <c r="I60" i="8"/>
  <c r="C85" i="8"/>
  <c r="B50" i="4" l="1"/>
  <c r="D7" i="10"/>
  <c r="E7" i="10" s="1"/>
  <c r="O16" i="10" s="1"/>
  <c r="P16" i="10" s="1"/>
  <c r="M16" i="10" s="1"/>
  <c r="C7" i="11"/>
  <c r="D7" i="11" s="1"/>
  <c r="E7" i="11" s="1"/>
  <c r="G15" i="11" l="1"/>
  <c r="M15" i="11" s="1"/>
</calcChain>
</file>

<file path=xl/sharedStrings.xml><?xml version="1.0" encoding="utf-8"?>
<sst xmlns="http://schemas.openxmlformats.org/spreadsheetml/2006/main" count="3516" uniqueCount="939">
  <si>
    <r>
      <rPr>
        <sz val="11"/>
        <color theme="1"/>
        <rFont val="微軟正黑體"/>
        <family val="2"/>
        <charset val="136"/>
      </rPr>
      <t>鶯歌鎮</t>
    </r>
  </si>
  <si>
    <r>
      <rPr>
        <sz val="11"/>
        <color theme="1"/>
        <rFont val="微軟正黑體"/>
        <family val="2"/>
        <charset val="136"/>
      </rPr>
      <t>三峽鎮</t>
    </r>
  </si>
  <si>
    <r>
      <rPr>
        <sz val="11"/>
        <color theme="1"/>
        <rFont val="微軟正黑體"/>
        <family val="2"/>
        <charset val="136"/>
      </rPr>
      <t>淡水鎮</t>
    </r>
  </si>
  <si>
    <r>
      <rPr>
        <sz val="11"/>
        <color theme="1"/>
        <rFont val="微軟正黑體"/>
        <family val="2"/>
        <charset val="136"/>
      </rPr>
      <t>汐止市</t>
    </r>
  </si>
  <si>
    <r>
      <rPr>
        <sz val="11"/>
        <color theme="1"/>
        <rFont val="微軟正黑體"/>
        <family val="2"/>
        <charset val="136"/>
      </rPr>
      <t>瑞芳鎮</t>
    </r>
  </si>
  <si>
    <r>
      <rPr>
        <sz val="11"/>
        <color theme="1"/>
        <rFont val="微軟正黑體"/>
        <family val="2"/>
        <charset val="136"/>
      </rPr>
      <t>林口鄉</t>
    </r>
  </si>
  <si>
    <r>
      <rPr>
        <sz val="11"/>
        <color theme="1"/>
        <rFont val="微軟正黑體"/>
        <family val="2"/>
        <charset val="136"/>
      </rPr>
      <t>深坑鄉</t>
    </r>
  </si>
  <si>
    <r>
      <rPr>
        <sz val="11"/>
        <color theme="1"/>
        <rFont val="微軟正黑體"/>
        <family val="2"/>
        <charset val="136"/>
      </rPr>
      <t>石碇鄉</t>
    </r>
  </si>
  <si>
    <r>
      <rPr>
        <sz val="11"/>
        <color theme="1"/>
        <rFont val="微軟正黑體"/>
        <family val="2"/>
        <charset val="136"/>
      </rPr>
      <t>坪林鄉</t>
    </r>
  </si>
  <si>
    <r>
      <rPr>
        <sz val="11"/>
        <color theme="1"/>
        <rFont val="微軟正黑體"/>
        <family val="2"/>
        <charset val="136"/>
      </rPr>
      <t>三芝鄉</t>
    </r>
  </si>
  <si>
    <r>
      <rPr>
        <sz val="11"/>
        <color theme="1"/>
        <rFont val="微軟正黑體"/>
        <family val="2"/>
        <charset val="136"/>
      </rPr>
      <t>石門鄉</t>
    </r>
  </si>
  <si>
    <r>
      <rPr>
        <sz val="11"/>
        <color theme="1"/>
        <rFont val="微軟正黑體"/>
        <family val="2"/>
        <charset val="136"/>
      </rPr>
      <t>八里鄉</t>
    </r>
  </si>
  <si>
    <r>
      <rPr>
        <sz val="11"/>
        <color theme="1"/>
        <rFont val="微軟正黑體"/>
        <family val="2"/>
        <charset val="136"/>
      </rPr>
      <t>平溪鄉</t>
    </r>
  </si>
  <si>
    <r>
      <rPr>
        <sz val="11"/>
        <color theme="1"/>
        <rFont val="微軟正黑體"/>
        <family val="2"/>
        <charset val="136"/>
      </rPr>
      <t>雙溪鄉</t>
    </r>
  </si>
  <si>
    <r>
      <rPr>
        <sz val="11"/>
        <color theme="1"/>
        <rFont val="微軟正黑體"/>
        <family val="2"/>
        <charset val="136"/>
      </rPr>
      <t>貢寮鄉</t>
    </r>
  </si>
  <si>
    <r>
      <rPr>
        <sz val="11"/>
        <color theme="1"/>
        <rFont val="微軟正黑體"/>
        <family val="2"/>
        <charset val="136"/>
      </rPr>
      <t>金山鄉</t>
    </r>
  </si>
  <si>
    <r>
      <rPr>
        <sz val="11"/>
        <color theme="1"/>
        <rFont val="微軟正黑體"/>
        <family val="2"/>
        <charset val="136"/>
      </rPr>
      <t>萬里鄉</t>
    </r>
  </si>
  <si>
    <r>
      <rPr>
        <sz val="11"/>
        <color theme="1"/>
        <rFont val="微軟正黑體"/>
        <family val="2"/>
        <charset val="136"/>
      </rPr>
      <t>烏來鄉</t>
    </r>
  </si>
  <si>
    <r>
      <rPr>
        <sz val="11"/>
        <color theme="1"/>
        <rFont val="微軟正黑體"/>
        <family val="2"/>
        <charset val="136"/>
      </rPr>
      <t>中正區</t>
    </r>
  </si>
  <si>
    <r>
      <rPr>
        <sz val="11"/>
        <color theme="1"/>
        <rFont val="微軟正黑體"/>
        <family val="2"/>
        <charset val="136"/>
      </rPr>
      <t>七堵區</t>
    </r>
  </si>
  <si>
    <r>
      <rPr>
        <sz val="11"/>
        <color theme="1"/>
        <rFont val="微軟正黑體"/>
        <family val="2"/>
        <charset val="136"/>
      </rPr>
      <t>暖暖區</t>
    </r>
  </si>
  <si>
    <r>
      <rPr>
        <sz val="11"/>
        <color theme="1"/>
        <rFont val="微軟正黑體"/>
        <family val="2"/>
        <charset val="136"/>
      </rPr>
      <t>仁愛區</t>
    </r>
  </si>
  <si>
    <r>
      <rPr>
        <sz val="11"/>
        <color theme="1"/>
        <rFont val="微軟正黑體"/>
        <family val="2"/>
        <charset val="136"/>
      </rPr>
      <t>中山區</t>
    </r>
  </si>
  <si>
    <r>
      <rPr>
        <sz val="11"/>
        <color theme="1"/>
        <rFont val="微軟正黑體"/>
        <family val="2"/>
        <charset val="136"/>
      </rPr>
      <t>安樂區</t>
    </r>
  </si>
  <si>
    <r>
      <rPr>
        <sz val="11"/>
        <color theme="1"/>
        <rFont val="微軟正黑體"/>
        <family val="2"/>
        <charset val="136"/>
      </rPr>
      <t>信義區</t>
    </r>
  </si>
  <si>
    <r>
      <rPr>
        <sz val="11"/>
        <color theme="1"/>
        <rFont val="微軟正黑體"/>
        <family val="2"/>
        <charset val="136"/>
      </rPr>
      <t>宜蘭市</t>
    </r>
  </si>
  <si>
    <r>
      <rPr>
        <sz val="11"/>
        <color theme="1"/>
        <rFont val="微軟正黑體"/>
        <family val="2"/>
        <charset val="136"/>
      </rPr>
      <t>羅東鎮</t>
    </r>
  </si>
  <si>
    <r>
      <rPr>
        <sz val="11"/>
        <color theme="1"/>
        <rFont val="微軟正黑體"/>
        <family val="2"/>
        <charset val="136"/>
      </rPr>
      <t>蘇澳鎮</t>
    </r>
  </si>
  <si>
    <r>
      <rPr>
        <sz val="11"/>
        <color theme="1"/>
        <rFont val="微軟正黑體"/>
        <family val="2"/>
        <charset val="136"/>
      </rPr>
      <t>頭城鎮</t>
    </r>
  </si>
  <si>
    <r>
      <rPr>
        <sz val="11"/>
        <color theme="1"/>
        <rFont val="微軟正黑體"/>
        <family val="2"/>
        <charset val="136"/>
      </rPr>
      <t>礁溪鄉</t>
    </r>
  </si>
  <si>
    <r>
      <rPr>
        <sz val="11"/>
        <color theme="1"/>
        <rFont val="微軟正黑體"/>
        <family val="2"/>
        <charset val="136"/>
      </rPr>
      <t>壯圍鄉</t>
    </r>
  </si>
  <si>
    <r>
      <rPr>
        <sz val="11"/>
        <color theme="1"/>
        <rFont val="微軟正黑體"/>
        <family val="2"/>
        <charset val="136"/>
      </rPr>
      <t>員山鄉</t>
    </r>
  </si>
  <si>
    <r>
      <rPr>
        <sz val="11"/>
        <color theme="1"/>
        <rFont val="微軟正黑體"/>
        <family val="2"/>
        <charset val="136"/>
      </rPr>
      <t>冬山鄉</t>
    </r>
  </si>
  <si>
    <r>
      <rPr>
        <sz val="11"/>
        <color theme="1"/>
        <rFont val="微軟正黑體"/>
        <family val="2"/>
        <charset val="136"/>
      </rPr>
      <t>五結鄉</t>
    </r>
  </si>
  <si>
    <r>
      <rPr>
        <sz val="11"/>
        <color theme="1"/>
        <rFont val="微軟正黑體"/>
        <family val="2"/>
        <charset val="136"/>
      </rPr>
      <t>三星鄉</t>
    </r>
  </si>
  <si>
    <r>
      <rPr>
        <sz val="11"/>
        <color theme="1"/>
        <rFont val="微軟正黑體"/>
        <family val="2"/>
        <charset val="136"/>
      </rPr>
      <t>大同鄉</t>
    </r>
  </si>
  <si>
    <r>
      <rPr>
        <sz val="11"/>
        <color theme="1"/>
        <rFont val="微軟正黑體"/>
        <family val="2"/>
        <charset val="136"/>
      </rPr>
      <t>南澳鄉</t>
    </r>
  </si>
  <si>
    <r>
      <rPr>
        <sz val="11"/>
        <color theme="1"/>
        <rFont val="微軟正黑體"/>
        <family val="2"/>
        <charset val="136"/>
      </rPr>
      <t>桃園市</t>
    </r>
  </si>
  <si>
    <r>
      <rPr>
        <sz val="11"/>
        <color theme="1"/>
        <rFont val="微軟正黑體"/>
        <family val="2"/>
        <charset val="136"/>
      </rPr>
      <t>中壢市</t>
    </r>
  </si>
  <si>
    <r>
      <rPr>
        <sz val="11"/>
        <color theme="1"/>
        <rFont val="微軟正黑體"/>
        <family val="2"/>
        <charset val="136"/>
      </rPr>
      <t>大溪鎮</t>
    </r>
  </si>
  <si>
    <r>
      <rPr>
        <sz val="11"/>
        <color theme="1"/>
        <rFont val="微軟正黑體"/>
        <family val="2"/>
        <charset val="136"/>
      </rPr>
      <t>楊梅鎮</t>
    </r>
  </si>
  <si>
    <r>
      <rPr>
        <sz val="11"/>
        <color theme="1"/>
        <rFont val="微軟正黑體"/>
        <family val="2"/>
        <charset val="136"/>
      </rPr>
      <t>蘆竹鄉</t>
    </r>
  </si>
  <si>
    <r>
      <rPr>
        <sz val="11"/>
        <color theme="1"/>
        <rFont val="微軟正黑體"/>
        <family val="2"/>
        <charset val="136"/>
      </rPr>
      <t>大園鄉</t>
    </r>
  </si>
  <si>
    <r>
      <rPr>
        <sz val="11"/>
        <color theme="1"/>
        <rFont val="微軟正黑體"/>
        <family val="2"/>
        <charset val="136"/>
      </rPr>
      <t>龜山鄉</t>
    </r>
  </si>
  <si>
    <r>
      <rPr>
        <sz val="11"/>
        <color theme="1"/>
        <rFont val="微軟正黑體"/>
        <family val="2"/>
        <charset val="136"/>
      </rPr>
      <t>八德市</t>
    </r>
  </si>
  <si>
    <r>
      <rPr>
        <sz val="11"/>
        <color theme="1"/>
        <rFont val="微軟正黑體"/>
        <family val="2"/>
        <charset val="136"/>
      </rPr>
      <t>龍潭鄉</t>
    </r>
  </si>
  <si>
    <r>
      <rPr>
        <sz val="11"/>
        <color theme="1"/>
        <rFont val="微軟正黑體"/>
        <family val="2"/>
        <charset val="136"/>
      </rPr>
      <t>平鎮市</t>
    </r>
  </si>
  <si>
    <r>
      <rPr>
        <sz val="11"/>
        <color theme="1"/>
        <rFont val="微軟正黑體"/>
        <family val="2"/>
        <charset val="136"/>
      </rPr>
      <t>新屋鄉</t>
    </r>
  </si>
  <si>
    <r>
      <rPr>
        <sz val="11"/>
        <color theme="1"/>
        <rFont val="微軟正黑體"/>
        <family val="2"/>
        <charset val="136"/>
      </rPr>
      <t>觀音鄉</t>
    </r>
  </si>
  <si>
    <r>
      <rPr>
        <sz val="11"/>
        <color theme="1"/>
        <rFont val="微軟正黑體"/>
        <family val="2"/>
        <charset val="136"/>
      </rPr>
      <t>復興鄉</t>
    </r>
  </si>
  <si>
    <r>
      <rPr>
        <sz val="11"/>
        <color theme="1"/>
        <rFont val="微軟正黑體"/>
        <family val="2"/>
        <charset val="136"/>
      </rPr>
      <t>竹北市</t>
    </r>
  </si>
  <si>
    <r>
      <rPr>
        <sz val="11"/>
        <color theme="1"/>
        <rFont val="微軟正黑體"/>
        <family val="2"/>
        <charset val="136"/>
      </rPr>
      <t>竹東鎮</t>
    </r>
  </si>
  <si>
    <r>
      <rPr>
        <sz val="11"/>
        <color theme="1"/>
        <rFont val="微軟正黑體"/>
        <family val="2"/>
        <charset val="136"/>
      </rPr>
      <t>新埔鎮</t>
    </r>
  </si>
  <si>
    <r>
      <rPr>
        <sz val="11"/>
        <color theme="1"/>
        <rFont val="微軟正黑體"/>
        <family val="2"/>
        <charset val="136"/>
      </rPr>
      <t>關西鎮</t>
    </r>
  </si>
  <si>
    <r>
      <rPr>
        <sz val="11"/>
        <color theme="1"/>
        <rFont val="微軟正黑體"/>
        <family val="2"/>
        <charset val="136"/>
      </rPr>
      <t>湖口鄉</t>
    </r>
  </si>
  <si>
    <r>
      <rPr>
        <sz val="11"/>
        <color theme="1"/>
        <rFont val="微軟正黑體"/>
        <family val="2"/>
        <charset val="136"/>
      </rPr>
      <t>新豐鄉</t>
    </r>
  </si>
  <si>
    <r>
      <rPr>
        <sz val="11"/>
        <color theme="1"/>
        <rFont val="微軟正黑體"/>
        <family val="2"/>
        <charset val="136"/>
      </rPr>
      <t>芎林鄉</t>
    </r>
  </si>
  <si>
    <r>
      <rPr>
        <sz val="11"/>
        <color theme="1"/>
        <rFont val="微軟正黑體"/>
        <family val="2"/>
        <charset val="136"/>
      </rPr>
      <t>橫山鄉</t>
    </r>
  </si>
  <si>
    <r>
      <rPr>
        <sz val="11"/>
        <color theme="1"/>
        <rFont val="微軟正黑體"/>
        <family val="2"/>
        <charset val="136"/>
      </rPr>
      <t>北埔鄉</t>
    </r>
  </si>
  <si>
    <r>
      <rPr>
        <sz val="9"/>
        <color theme="1"/>
        <rFont val="微軟正黑體"/>
        <family val="2"/>
        <charset val="136"/>
      </rPr>
      <t>獅潭與神卓山斷層</t>
    </r>
  </si>
  <si>
    <r>
      <rPr>
        <sz val="11"/>
        <color theme="1"/>
        <rFont val="微軟正黑體"/>
        <family val="2"/>
        <charset val="136"/>
      </rPr>
      <t>寶山鄉</t>
    </r>
  </si>
  <si>
    <r>
      <rPr>
        <sz val="11"/>
        <color theme="1"/>
        <rFont val="微軟正黑體"/>
        <family val="2"/>
        <charset val="136"/>
      </rPr>
      <t>峨眉鄉</t>
    </r>
  </si>
  <si>
    <r>
      <rPr>
        <sz val="11"/>
        <color theme="1"/>
        <rFont val="微軟正黑體"/>
        <family val="2"/>
        <charset val="136"/>
      </rPr>
      <t>尖石鄉</t>
    </r>
  </si>
  <si>
    <r>
      <rPr>
        <sz val="11"/>
        <color theme="1"/>
        <rFont val="微軟正黑體"/>
        <family val="2"/>
        <charset val="136"/>
      </rPr>
      <t>五峰鄉</t>
    </r>
  </si>
  <si>
    <r>
      <rPr>
        <sz val="11"/>
        <color theme="1"/>
        <rFont val="微軟正黑體"/>
        <family val="2"/>
        <charset val="136"/>
      </rPr>
      <t>東區</t>
    </r>
  </si>
  <si>
    <r>
      <rPr>
        <sz val="11"/>
        <color theme="1"/>
        <rFont val="微軟正黑體"/>
        <family val="2"/>
        <charset val="136"/>
      </rPr>
      <t>北區</t>
    </r>
  </si>
  <si>
    <r>
      <rPr>
        <sz val="11"/>
        <color theme="1"/>
        <rFont val="微軟正黑體"/>
        <family val="2"/>
        <charset val="136"/>
      </rPr>
      <t>香山區</t>
    </r>
  </si>
  <si>
    <r>
      <rPr>
        <sz val="11"/>
        <color theme="1"/>
        <rFont val="微軟正黑體"/>
        <family val="2"/>
        <charset val="136"/>
      </rPr>
      <t>苗栗市</t>
    </r>
  </si>
  <si>
    <r>
      <rPr>
        <sz val="11"/>
        <color theme="1"/>
        <rFont val="微軟正黑體"/>
        <family val="2"/>
        <charset val="136"/>
      </rPr>
      <t>苑裡鎮</t>
    </r>
  </si>
  <si>
    <r>
      <rPr>
        <sz val="9"/>
        <color theme="1"/>
        <rFont val="微軟正黑體"/>
        <family val="2"/>
        <charset val="136"/>
      </rPr>
      <t>屯子腳、車籠埔斷層</t>
    </r>
  </si>
  <si>
    <r>
      <rPr>
        <sz val="11"/>
        <color theme="1"/>
        <rFont val="微軟正黑體"/>
        <family val="2"/>
        <charset val="136"/>
      </rPr>
      <t>通霄鎮</t>
    </r>
  </si>
  <si>
    <r>
      <rPr>
        <sz val="9"/>
        <color theme="1"/>
        <rFont val="微軟正黑體"/>
        <family val="2"/>
        <charset val="136"/>
      </rPr>
      <t>屯子腳斷層</t>
    </r>
  </si>
  <si>
    <r>
      <rPr>
        <sz val="11"/>
        <color theme="1"/>
        <rFont val="微軟正黑體"/>
        <family val="2"/>
        <charset val="136"/>
      </rPr>
      <t>竹南鎮</t>
    </r>
  </si>
  <si>
    <r>
      <rPr>
        <sz val="11"/>
        <color theme="1"/>
        <rFont val="微軟正黑體"/>
        <family val="2"/>
        <charset val="136"/>
      </rPr>
      <t>頭份鎮</t>
    </r>
  </si>
  <si>
    <r>
      <rPr>
        <sz val="11"/>
        <color theme="1"/>
        <rFont val="微軟正黑體"/>
        <family val="2"/>
        <charset val="136"/>
      </rPr>
      <t>後龍鎮</t>
    </r>
  </si>
  <si>
    <r>
      <rPr>
        <sz val="11"/>
        <color theme="1"/>
        <rFont val="微軟正黑體"/>
        <family val="2"/>
        <charset val="136"/>
      </rPr>
      <t>卓蘭鎮</t>
    </r>
  </si>
  <si>
    <r>
      <rPr>
        <sz val="11"/>
        <color theme="1"/>
        <rFont val="微軟正黑體"/>
        <family val="2"/>
        <charset val="136"/>
      </rPr>
      <t>大湖鄉</t>
    </r>
  </si>
  <si>
    <r>
      <rPr>
        <sz val="9"/>
        <color theme="1"/>
        <rFont val="微軟正黑體"/>
        <family val="2"/>
        <charset val="136"/>
      </rPr>
      <t>獅潭與神卓山、屯子腳、車籠埔斷層</t>
    </r>
  </si>
  <si>
    <r>
      <rPr>
        <sz val="11"/>
        <color theme="1"/>
        <rFont val="微軟正黑體"/>
        <family val="2"/>
        <charset val="136"/>
      </rPr>
      <t>公館鄉</t>
    </r>
  </si>
  <si>
    <r>
      <rPr>
        <sz val="11"/>
        <color theme="1"/>
        <rFont val="微軟正黑體"/>
        <family val="2"/>
        <charset val="136"/>
      </rPr>
      <t>銅鑼鄉</t>
    </r>
  </si>
  <si>
    <r>
      <rPr>
        <sz val="11"/>
        <color theme="1"/>
        <rFont val="微軟正黑體"/>
        <family val="2"/>
        <charset val="136"/>
      </rPr>
      <t>南庄鄉</t>
    </r>
  </si>
  <si>
    <r>
      <rPr>
        <sz val="11"/>
        <color theme="1"/>
        <rFont val="微軟正黑體"/>
        <family val="2"/>
        <charset val="136"/>
      </rPr>
      <t>頭屋鄉</t>
    </r>
  </si>
  <si>
    <r>
      <rPr>
        <sz val="11"/>
        <color theme="1"/>
        <rFont val="微軟正黑體"/>
        <family val="2"/>
        <charset val="136"/>
      </rPr>
      <t>三義鄉</t>
    </r>
  </si>
  <si>
    <r>
      <rPr>
        <sz val="11"/>
        <color theme="1"/>
        <rFont val="微軟正黑體"/>
        <family val="2"/>
        <charset val="136"/>
      </rPr>
      <t>西湖鄉</t>
    </r>
  </si>
  <si>
    <r>
      <rPr>
        <sz val="11"/>
        <color theme="1"/>
        <rFont val="微軟正黑體"/>
        <family val="2"/>
        <charset val="136"/>
      </rPr>
      <t>造橋鄉</t>
    </r>
  </si>
  <si>
    <r>
      <rPr>
        <sz val="11"/>
        <color theme="1"/>
        <rFont val="微軟正黑體"/>
        <family val="2"/>
        <charset val="136"/>
      </rPr>
      <t>三灣鄉</t>
    </r>
  </si>
  <si>
    <r>
      <rPr>
        <sz val="11"/>
        <color theme="1"/>
        <rFont val="微軟正黑體"/>
        <family val="2"/>
        <charset val="136"/>
      </rPr>
      <t>獅潭鄉</t>
    </r>
  </si>
  <si>
    <r>
      <rPr>
        <sz val="11"/>
        <color theme="1"/>
        <rFont val="微軟正黑體"/>
        <family val="2"/>
        <charset val="136"/>
      </rPr>
      <t>泰安鄉</t>
    </r>
  </si>
  <si>
    <r>
      <rPr>
        <sz val="9"/>
        <color theme="1"/>
        <rFont val="微軟正黑體"/>
        <family val="2"/>
        <charset val="136"/>
      </rPr>
      <t>獅潭與神卓山、車籠埔斷層</t>
    </r>
  </si>
  <si>
    <r>
      <rPr>
        <sz val="11"/>
        <color theme="1"/>
        <rFont val="微軟正黑體"/>
        <family val="2"/>
        <charset val="136"/>
      </rPr>
      <t>豐原市</t>
    </r>
  </si>
  <si>
    <r>
      <rPr>
        <sz val="11"/>
        <color theme="1"/>
        <rFont val="微軟正黑體"/>
        <family val="2"/>
        <charset val="136"/>
      </rPr>
      <t>東勢鎮</t>
    </r>
  </si>
  <si>
    <r>
      <rPr>
        <sz val="11"/>
        <color theme="1"/>
        <rFont val="微軟正黑體"/>
        <family val="2"/>
        <charset val="136"/>
      </rPr>
      <t>大甲鎮</t>
    </r>
  </si>
  <si>
    <r>
      <rPr>
        <sz val="11"/>
        <color theme="1"/>
        <rFont val="微軟正黑體"/>
        <family val="2"/>
        <charset val="136"/>
      </rPr>
      <t>清水鎮</t>
    </r>
  </si>
  <si>
    <r>
      <rPr>
        <sz val="11"/>
        <color theme="1"/>
        <rFont val="微軟正黑體"/>
        <family val="2"/>
        <charset val="136"/>
      </rPr>
      <t>沙鹿鎮</t>
    </r>
  </si>
  <si>
    <r>
      <rPr>
        <sz val="11"/>
        <color theme="1"/>
        <rFont val="微軟正黑體"/>
        <family val="2"/>
        <charset val="136"/>
      </rPr>
      <t>梧棲鎮</t>
    </r>
  </si>
  <si>
    <r>
      <rPr>
        <sz val="11"/>
        <color theme="1"/>
        <rFont val="微軟正黑體"/>
        <family val="2"/>
        <charset val="136"/>
      </rPr>
      <t>后里鄉</t>
    </r>
  </si>
  <si>
    <r>
      <rPr>
        <sz val="11"/>
        <color theme="1"/>
        <rFont val="微軟正黑體"/>
        <family val="2"/>
        <charset val="136"/>
      </rPr>
      <t>神岡鄉</t>
    </r>
  </si>
  <si>
    <r>
      <rPr>
        <sz val="11"/>
        <color theme="1"/>
        <rFont val="微軟正黑體"/>
        <family val="2"/>
        <charset val="136"/>
      </rPr>
      <t>潭子鄉</t>
    </r>
  </si>
  <si>
    <r>
      <rPr>
        <sz val="11"/>
        <color theme="1"/>
        <rFont val="微軟正黑體"/>
        <family val="2"/>
        <charset val="136"/>
      </rPr>
      <t>大雅鄉</t>
    </r>
  </si>
  <si>
    <r>
      <rPr>
        <sz val="11"/>
        <color theme="1"/>
        <rFont val="微軟正黑體"/>
        <family val="2"/>
        <charset val="136"/>
      </rPr>
      <t>新社鄉</t>
    </r>
  </si>
  <si>
    <r>
      <rPr>
        <sz val="11"/>
        <color theme="1"/>
        <rFont val="微軟正黑體"/>
        <family val="2"/>
        <charset val="136"/>
      </rPr>
      <t>石岡鄉</t>
    </r>
  </si>
  <si>
    <r>
      <rPr>
        <sz val="11"/>
        <color theme="1"/>
        <rFont val="微軟正黑體"/>
        <family val="2"/>
        <charset val="136"/>
      </rPr>
      <t>外埔鄉</t>
    </r>
  </si>
  <si>
    <r>
      <rPr>
        <sz val="11"/>
        <color theme="1"/>
        <rFont val="微軟正黑體"/>
        <family val="2"/>
        <charset val="136"/>
      </rPr>
      <t>大安鄉</t>
    </r>
  </si>
  <si>
    <r>
      <rPr>
        <sz val="11"/>
        <color theme="1"/>
        <rFont val="微軟正黑體"/>
        <family val="2"/>
        <charset val="136"/>
      </rPr>
      <t>烏日鄉</t>
    </r>
  </si>
  <si>
    <r>
      <rPr>
        <sz val="9"/>
        <color theme="1"/>
        <rFont val="微軟正黑體"/>
        <family val="2"/>
        <charset val="136"/>
      </rPr>
      <t>車籠埔斷層</t>
    </r>
  </si>
  <si>
    <r>
      <rPr>
        <sz val="11"/>
        <color theme="1"/>
        <rFont val="微軟正黑體"/>
        <family val="2"/>
        <charset val="136"/>
      </rPr>
      <t>大肚鄉</t>
    </r>
  </si>
  <si>
    <r>
      <rPr>
        <sz val="11"/>
        <color theme="1"/>
        <rFont val="微軟正黑體"/>
        <family val="2"/>
        <charset val="136"/>
      </rPr>
      <t>龍井鄉</t>
    </r>
  </si>
  <si>
    <r>
      <rPr>
        <sz val="11"/>
        <color theme="1"/>
        <rFont val="微軟正黑體"/>
        <family val="2"/>
        <charset val="136"/>
      </rPr>
      <t>霧峰鄉</t>
    </r>
  </si>
  <si>
    <r>
      <rPr>
        <sz val="11"/>
        <color theme="1"/>
        <rFont val="微軟正黑體"/>
        <family val="2"/>
        <charset val="136"/>
      </rPr>
      <t>太平市</t>
    </r>
  </si>
  <si>
    <r>
      <rPr>
        <sz val="11"/>
        <color theme="1"/>
        <rFont val="微軟正黑體"/>
        <family val="2"/>
        <charset val="136"/>
      </rPr>
      <t>大里市</t>
    </r>
  </si>
  <si>
    <r>
      <rPr>
        <sz val="11"/>
        <color theme="1"/>
        <rFont val="微軟正黑體"/>
        <family val="2"/>
        <charset val="136"/>
      </rPr>
      <t>和平鄉</t>
    </r>
  </si>
  <si>
    <r>
      <rPr>
        <sz val="11"/>
        <color theme="1"/>
        <rFont val="微軟正黑體"/>
        <family val="2"/>
        <charset val="136"/>
      </rPr>
      <t>中區</t>
    </r>
  </si>
  <si>
    <r>
      <rPr>
        <sz val="11"/>
        <color theme="1"/>
        <rFont val="微軟正黑體"/>
        <family val="2"/>
        <charset val="136"/>
      </rPr>
      <t>南區</t>
    </r>
  </si>
  <si>
    <r>
      <rPr>
        <sz val="11"/>
        <color theme="1"/>
        <rFont val="微軟正黑體"/>
        <family val="2"/>
        <charset val="136"/>
      </rPr>
      <t>西區</t>
    </r>
  </si>
  <si>
    <r>
      <rPr>
        <sz val="11"/>
        <color theme="1"/>
        <rFont val="微軟正黑體"/>
        <family val="2"/>
        <charset val="136"/>
      </rPr>
      <t>西屯區</t>
    </r>
  </si>
  <si>
    <r>
      <rPr>
        <sz val="11"/>
        <color theme="1"/>
        <rFont val="微軟正黑體"/>
        <family val="2"/>
        <charset val="136"/>
      </rPr>
      <t>南屯區</t>
    </r>
  </si>
  <si>
    <r>
      <rPr>
        <sz val="11"/>
        <color theme="1"/>
        <rFont val="微軟正黑體"/>
        <family val="2"/>
        <charset val="136"/>
      </rPr>
      <t>北屯區</t>
    </r>
  </si>
  <si>
    <r>
      <rPr>
        <sz val="11"/>
        <color theme="1"/>
        <rFont val="微軟正黑體"/>
        <family val="2"/>
        <charset val="136"/>
      </rPr>
      <t>彰化市</t>
    </r>
  </si>
  <si>
    <r>
      <rPr>
        <sz val="11"/>
        <color theme="1"/>
        <rFont val="微軟正黑體"/>
        <family val="2"/>
        <charset val="136"/>
      </rPr>
      <t>鹿港鎮</t>
    </r>
  </si>
  <si>
    <r>
      <rPr>
        <sz val="11"/>
        <color theme="1"/>
        <rFont val="微軟正黑體"/>
        <family val="2"/>
        <charset val="136"/>
      </rPr>
      <t>和美鎮</t>
    </r>
  </si>
  <si>
    <r>
      <rPr>
        <sz val="11"/>
        <color theme="1"/>
        <rFont val="微軟正黑體"/>
        <family val="2"/>
        <charset val="136"/>
      </rPr>
      <t>線西鄉</t>
    </r>
  </si>
  <si>
    <r>
      <rPr>
        <sz val="11"/>
        <color theme="1"/>
        <rFont val="微軟正黑體"/>
        <family val="2"/>
        <charset val="136"/>
      </rPr>
      <t>伸港鄉</t>
    </r>
  </si>
  <si>
    <r>
      <rPr>
        <sz val="11"/>
        <color theme="1"/>
        <rFont val="微軟正黑體"/>
        <family val="2"/>
        <charset val="136"/>
      </rPr>
      <t>福興鄉</t>
    </r>
  </si>
  <si>
    <r>
      <rPr>
        <sz val="11"/>
        <color theme="1"/>
        <rFont val="微軟正黑體"/>
        <family val="2"/>
        <charset val="136"/>
      </rPr>
      <t>秀水鄉</t>
    </r>
  </si>
  <si>
    <r>
      <rPr>
        <sz val="11"/>
        <color theme="1"/>
        <rFont val="微軟正黑體"/>
        <family val="2"/>
        <charset val="136"/>
      </rPr>
      <t>花壇鄉</t>
    </r>
  </si>
  <si>
    <r>
      <rPr>
        <sz val="11"/>
        <color theme="1"/>
        <rFont val="微軟正黑體"/>
        <family val="2"/>
        <charset val="136"/>
      </rPr>
      <t>芬園鄉</t>
    </r>
  </si>
  <si>
    <r>
      <rPr>
        <sz val="11"/>
        <color theme="1"/>
        <rFont val="微軟正黑體"/>
        <family val="2"/>
        <charset val="136"/>
      </rPr>
      <t>員林鎮</t>
    </r>
  </si>
  <si>
    <r>
      <rPr>
        <sz val="11"/>
        <color theme="1"/>
        <rFont val="微軟正黑體"/>
        <family val="2"/>
        <charset val="136"/>
      </rPr>
      <t>溪湖鎮</t>
    </r>
  </si>
  <si>
    <r>
      <rPr>
        <sz val="11"/>
        <color theme="1"/>
        <rFont val="微軟正黑體"/>
        <family val="2"/>
        <charset val="136"/>
      </rPr>
      <t>田中鎮</t>
    </r>
  </si>
  <si>
    <r>
      <rPr>
        <sz val="11"/>
        <color theme="1"/>
        <rFont val="微軟正黑體"/>
        <family val="2"/>
        <charset val="136"/>
      </rPr>
      <t>大村鄉</t>
    </r>
  </si>
  <si>
    <r>
      <rPr>
        <sz val="11"/>
        <color theme="1"/>
        <rFont val="微軟正黑體"/>
        <family val="2"/>
        <charset val="136"/>
      </rPr>
      <t>埔鹽鄉</t>
    </r>
  </si>
  <si>
    <r>
      <rPr>
        <sz val="11"/>
        <color theme="1"/>
        <rFont val="微軟正黑體"/>
        <family val="2"/>
        <charset val="136"/>
      </rPr>
      <t>埔心鄉</t>
    </r>
  </si>
  <si>
    <r>
      <rPr>
        <sz val="11"/>
        <color theme="1"/>
        <rFont val="微軟正黑體"/>
        <family val="2"/>
        <charset val="136"/>
      </rPr>
      <t>永靖鄉</t>
    </r>
  </si>
  <si>
    <r>
      <rPr>
        <sz val="11"/>
        <color theme="1"/>
        <rFont val="微軟正黑體"/>
        <family val="2"/>
        <charset val="136"/>
      </rPr>
      <t>社頭鄉</t>
    </r>
  </si>
  <si>
    <r>
      <rPr>
        <sz val="11"/>
        <color theme="1"/>
        <rFont val="微軟正黑體"/>
        <family val="2"/>
        <charset val="136"/>
      </rPr>
      <t>二水鄉</t>
    </r>
  </si>
  <si>
    <r>
      <rPr>
        <sz val="11"/>
        <color theme="1"/>
        <rFont val="微軟正黑體"/>
        <family val="2"/>
        <charset val="136"/>
      </rPr>
      <t>北斗鎮</t>
    </r>
  </si>
  <si>
    <r>
      <rPr>
        <sz val="11"/>
        <color theme="1"/>
        <rFont val="微軟正黑體"/>
        <family val="2"/>
        <charset val="136"/>
      </rPr>
      <t>二林鎮</t>
    </r>
  </si>
  <si>
    <r>
      <rPr>
        <sz val="11"/>
        <color theme="1"/>
        <rFont val="微軟正黑體"/>
        <family val="2"/>
        <charset val="136"/>
      </rPr>
      <t>田尾鄉</t>
    </r>
  </si>
  <si>
    <r>
      <rPr>
        <sz val="11"/>
        <color theme="1"/>
        <rFont val="微軟正黑體"/>
        <family val="2"/>
        <charset val="136"/>
      </rPr>
      <t>埤頭鄉</t>
    </r>
  </si>
  <si>
    <r>
      <rPr>
        <sz val="11"/>
        <color theme="1"/>
        <rFont val="微軟正黑體"/>
        <family val="2"/>
        <charset val="136"/>
      </rPr>
      <t>芳苑鄉</t>
    </r>
  </si>
  <si>
    <r>
      <rPr>
        <sz val="11"/>
        <color theme="1"/>
        <rFont val="微軟正黑體"/>
        <family val="2"/>
        <charset val="136"/>
      </rPr>
      <t>大城鄉</t>
    </r>
  </si>
  <si>
    <r>
      <rPr>
        <sz val="11"/>
        <color theme="1"/>
        <rFont val="微軟正黑體"/>
        <family val="2"/>
        <charset val="136"/>
      </rPr>
      <t>竹塘鄉</t>
    </r>
  </si>
  <si>
    <r>
      <rPr>
        <sz val="11"/>
        <color theme="1"/>
        <rFont val="微軟正黑體"/>
        <family val="2"/>
        <charset val="136"/>
      </rPr>
      <t>溪州鄉</t>
    </r>
  </si>
  <si>
    <r>
      <rPr>
        <sz val="11"/>
        <color theme="1"/>
        <rFont val="微軟正黑體"/>
        <family val="2"/>
        <charset val="136"/>
      </rPr>
      <t>南投市</t>
    </r>
  </si>
  <si>
    <r>
      <rPr>
        <sz val="11"/>
        <color theme="1"/>
        <rFont val="微軟正黑體"/>
        <family val="2"/>
        <charset val="136"/>
      </rPr>
      <t>埔里鎮</t>
    </r>
  </si>
  <si>
    <r>
      <rPr>
        <sz val="11"/>
        <color theme="1"/>
        <rFont val="微軟正黑體"/>
        <family val="2"/>
        <charset val="136"/>
      </rPr>
      <t>草屯鎮</t>
    </r>
  </si>
  <si>
    <r>
      <rPr>
        <sz val="11"/>
        <color theme="1"/>
        <rFont val="微軟正黑體"/>
        <family val="2"/>
        <charset val="136"/>
      </rPr>
      <t>竹山鎮</t>
    </r>
  </si>
  <si>
    <r>
      <rPr>
        <sz val="9"/>
        <color theme="1"/>
        <rFont val="微軟正黑體"/>
        <family val="2"/>
        <charset val="136"/>
      </rPr>
      <t>大尖山與觸口、車籠埔斷層</t>
    </r>
  </si>
  <si>
    <r>
      <rPr>
        <sz val="11"/>
        <color theme="1"/>
        <rFont val="微軟正黑體"/>
        <family val="2"/>
        <charset val="136"/>
      </rPr>
      <t>集集鎮</t>
    </r>
  </si>
  <si>
    <r>
      <rPr>
        <sz val="11"/>
        <color theme="1"/>
        <rFont val="微軟正黑體"/>
        <family val="2"/>
        <charset val="136"/>
      </rPr>
      <t>名間鄉</t>
    </r>
  </si>
  <si>
    <r>
      <rPr>
        <sz val="11"/>
        <color theme="1"/>
        <rFont val="微軟正黑體"/>
        <family val="2"/>
        <charset val="136"/>
      </rPr>
      <t>鹿谷鄉</t>
    </r>
  </si>
  <si>
    <r>
      <rPr>
        <sz val="11"/>
        <color theme="1"/>
        <rFont val="微軟正黑體"/>
        <family val="2"/>
        <charset val="136"/>
      </rPr>
      <t>中寮鄉</t>
    </r>
  </si>
  <si>
    <r>
      <rPr>
        <sz val="11"/>
        <color theme="1"/>
        <rFont val="微軟正黑體"/>
        <family val="2"/>
        <charset val="136"/>
      </rPr>
      <t>魚池鄉</t>
    </r>
  </si>
  <si>
    <r>
      <rPr>
        <sz val="11"/>
        <color theme="1"/>
        <rFont val="微軟正黑體"/>
        <family val="2"/>
        <charset val="136"/>
      </rPr>
      <t>國姓鄉</t>
    </r>
  </si>
  <si>
    <r>
      <rPr>
        <sz val="11"/>
        <color theme="1"/>
        <rFont val="微軟正黑體"/>
        <family val="2"/>
        <charset val="136"/>
      </rPr>
      <t>水里鄉</t>
    </r>
  </si>
  <si>
    <r>
      <rPr>
        <sz val="11"/>
        <color theme="1"/>
        <rFont val="微軟正黑體"/>
        <family val="2"/>
        <charset val="136"/>
      </rPr>
      <t>信義鄉</t>
    </r>
  </si>
  <si>
    <r>
      <rPr>
        <sz val="11"/>
        <color theme="1"/>
        <rFont val="微軟正黑體"/>
        <family val="2"/>
        <charset val="136"/>
      </rPr>
      <t>仁愛鄉</t>
    </r>
  </si>
  <si>
    <r>
      <rPr>
        <sz val="11"/>
        <color theme="1"/>
        <rFont val="微軟正黑體"/>
        <family val="2"/>
        <charset val="136"/>
      </rPr>
      <t>斗六市</t>
    </r>
  </si>
  <si>
    <r>
      <rPr>
        <sz val="11"/>
        <color theme="1"/>
        <rFont val="微軟正黑體"/>
        <family val="2"/>
        <charset val="136"/>
      </rPr>
      <t>斗南鎮</t>
    </r>
  </si>
  <si>
    <r>
      <rPr>
        <sz val="9"/>
        <color theme="1"/>
        <rFont val="微軟正黑體"/>
        <family val="2"/>
        <charset val="136"/>
      </rPr>
      <t>梅山斷層</t>
    </r>
  </si>
  <si>
    <r>
      <rPr>
        <sz val="11"/>
        <color theme="1"/>
        <rFont val="微軟正黑體"/>
        <family val="2"/>
        <charset val="136"/>
      </rPr>
      <t>虎尾鎮</t>
    </r>
  </si>
  <si>
    <r>
      <rPr>
        <sz val="11"/>
        <color theme="1"/>
        <rFont val="微軟正黑體"/>
        <family val="2"/>
        <charset val="136"/>
      </rPr>
      <t>西螺鎮</t>
    </r>
  </si>
  <si>
    <r>
      <rPr>
        <sz val="11"/>
        <color theme="1"/>
        <rFont val="微軟正黑體"/>
        <family val="2"/>
        <charset val="136"/>
      </rPr>
      <t>土庫鎮</t>
    </r>
  </si>
  <si>
    <r>
      <rPr>
        <sz val="11"/>
        <color theme="1"/>
        <rFont val="微軟正黑體"/>
        <family val="2"/>
        <charset val="136"/>
      </rPr>
      <t>北港鎮</t>
    </r>
  </si>
  <si>
    <r>
      <rPr>
        <sz val="11"/>
        <color theme="1"/>
        <rFont val="微軟正黑體"/>
        <family val="2"/>
        <charset val="136"/>
      </rPr>
      <t>古坑鄉</t>
    </r>
  </si>
  <si>
    <r>
      <rPr>
        <sz val="9"/>
        <color theme="1"/>
        <rFont val="微軟正黑體"/>
        <family val="2"/>
        <charset val="136"/>
      </rPr>
      <t>梅山、車籠埔斷層</t>
    </r>
  </si>
  <si>
    <r>
      <rPr>
        <sz val="11"/>
        <color theme="1"/>
        <rFont val="微軟正黑體"/>
        <family val="2"/>
        <charset val="136"/>
      </rPr>
      <t>大埤鄉</t>
    </r>
  </si>
  <si>
    <r>
      <rPr>
        <sz val="11"/>
        <color theme="1"/>
        <rFont val="微軟正黑體"/>
        <family val="2"/>
        <charset val="136"/>
      </rPr>
      <t>莿桐鄉</t>
    </r>
  </si>
  <si>
    <r>
      <rPr>
        <sz val="11"/>
        <color theme="1"/>
        <rFont val="微軟正黑體"/>
        <family val="2"/>
        <charset val="136"/>
      </rPr>
      <t>林內鄉</t>
    </r>
  </si>
  <si>
    <r>
      <rPr>
        <sz val="11"/>
        <color theme="1"/>
        <rFont val="微軟正黑體"/>
        <family val="2"/>
        <charset val="136"/>
      </rPr>
      <t>二崙鄉</t>
    </r>
  </si>
  <si>
    <r>
      <rPr>
        <sz val="11"/>
        <color theme="1"/>
        <rFont val="微軟正黑體"/>
        <family val="2"/>
        <charset val="136"/>
      </rPr>
      <t>崙背鄉</t>
    </r>
  </si>
  <si>
    <r>
      <rPr>
        <sz val="11"/>
        <color theme="1"/>
        <rFont val="微軟正黑體"/>
        <family val="2"/>
        <charset val="136"/>
      </rPr>
      <t>麥寮鄉</t>
    </r>
  </si>
  <si>
    <r>
      <rPr>
        <sz val="11"/>
        <color theme="1"/>
        <rFont val="微軟正黑體"/>
        <family val="2"/>
        <charset val="136"/>
      </rPr>
      <t>東勢鄉</t>
    </r>
  </si>
  <si>
    <r>
      <rPr>
        <sz val="11"/>
        <color theme="1"/>
        <rFont val="微軟正黑體"/>
        <family val="2"/>
        <charset val="136"/>
      </rPr>
      <t>褒忠鄉</t>
    </r>
  </si>
  <si>
    <r>
      <rPr>
        <sz val="11"/>
        <color theme="1"/>
        <rFont val="微軟正黑體"/>
        <family val="2"/>
        <charset val="136"/>
      </rPr>
      <t>臺西鄉</t>
    </r>
  </si>
  <si>
    <r>
      <rPr>
        <sz val="11"/>
        <color theme="1"/>
        <rFont val="微軟正黑體"/>
        <family val="2"/>
        <charset val="136"/>
      </rPr>
      <t>元長鄉</t>
    </r>
  </si>
  <si>
    <r>
      <rPr>
        <sz val="11"/>
        <color theme="1"/>
        <rFont val="微軟正黑體"/>
        <family val="2"/>
        <charset val="136"/>
      </rPr>
      <t>四湖鄉</t>
    </r>
  </si>
  <si>
    <r>
      <rPr>
        <sz val="11"/>
        <color theme="1"/>
        <rFont val="微軟正黑體"/>
        <family val="2"/>
        <charset val="136"/>
      </rPr>
      <t>口湖鄉</t>
    </r>
  </si>
  <si>
    <r>
      <rPr>
        <sz val="11"/>
        <color theme="1"/>
        <rFont val="微軟正黑體"/>
        <family val="2"/>
        <charset val="136"/>
      </rPr>
      <t>水林鄉</t>
    </r>
  </si>
  <si>
    <r>
      <rPr>
        <sz val="11"/>
        <color theme="1"/>
        <rFont val="微軟正黑體"/>
        <family val="2"/>
        <charset val="136"/>
      </rPr>
      <t>太保市</t>
    </r>
  </si>
  <si>
    <r>
      <rPr>
        <sz val="11"/>
        <color theme="1"/>
        <rFont val="微軟正黑體"/>
        <family val="2"/>
        <charset val="136"/>
      </rPr>
      <t>朴子市</t>
    </r>
  </si>
  <si>
    <r>
      <rPr>
        <sz val="11"/>
        <color theme="1"/>
        <rFont val="微軟正黑體"/>
        <family val="2"/>
        <charset val="136"/>
      </rPr>
      <t>布袋鎮</t>
    </r>
  </si>
  <si>
    <r>
      <rPr>
        <sz val="11"/>
        <color theme="1"/>
        <rFont val="微軟正黑體"/>
        <family val="2"/>
        <charset val="136"/>
      </rPr>
      <t>大林鎮</t>
    </r>
  </si>
  <si>
    <r>
      <rPr>
        <sz val="9"/>
        <color theme="1"/>
        <rFont val="微軟正黑體"/>
        <family val="2"/>
        <charset val="136"/>
      </rPr>
      <t>梅山、大尖山與觸口斷層</t>
    </r>
  </si>
  <si>
    <r>
      <rPr>
        <sz val="11"/>
        <color theme="1"/>
        <rFont val="微軟正黑體"/>
        <family val="2"/>
        <charset val="136"/>
      </rPr>
      <t>民雄鄉</t>
    </r>
  </si>
  <si>
    <r>
      <rPr>
        <sz val="11"/>
        <color theme="1"/>
        <rFont val="微軟正黑體"/>
        <family val="2"/>
        <charset val="136"/>
      </rPr>
      <t>溪口鄉</t>
    </r>
  </si>
  <si>
    <r>
      <rPr>
        <sz val="11"/>
        <color theme="1"/>
        <rFont val="微軟正黑體"/>
        <family val="2"/>
        <charset val="136"/>
      </rPr>
      <t>新港鄉</t>
    </r>
  </si>
  <si>
    <r>
      <rPr>
        <sz val="11"/>
        <color theme="1"/>
        <rFont val="微軟正黑體"/>
        <family val="2"/>
        <charset val="136"/>
      </rPr>
      <t>六腳鄉</t>
    </r>
  </si>
  <si>
    <r>
      <rPr>
        <sz val="11"/>
        <color theme="1"/>
        <rFont val="微軟正黑體"/>
        <family val="2"/>
        <charset val="136"/>
      </rPr>
      <t>東石鄉</t>
    </r>
  </si>
  <si>
    <r>
      <rPr>
        <sz val="11"/>
        <color theme="1"/>
        <rFont val="微軟正黑體"/>
        <family val="2"/>
        <charset val="136"/>
      </rPr>
      <t>義竹鄉</t>
    </r>
  </si>
  <si>
    <r>
      <rPr>
        <sz val="11"/>
        <color theme="1"/>
        <rFont val="微軟正黑體"/>
        <family val="2"/>
        <charset val="136"/>
      </rPr>
      <t>鹿草鄉</t>
    </r>
  </si>
  <si>
    <r>
      <rPr>
        <sz val="11"/>
        <color theme="1"/>
        <rFont val="微軟正黑體"/>
        <family val="2"/>
        <charset val="136"/>
      </rPr>
      <t>水上鄉</t>
    </r>
  </si>
  <si>
    <r>
      <rPr>
        <sz val="9"/>
        <color theme="1"/>
        <rFont val="微軟正黑體"/>
        <family val="2"/>
        <charset val="136"/>
      </rPr>
      <t>大尖山與觸口斷層</t>
    </r>
  </si>
  <si>
    <r>
      <rPr>
        <sz val="11"/>
        <color theme="1"/>
        <rFont val="微軟正黑體"/>
        <family val="2"/>
        <charset val="136"/>
      </rPr>
      <t>中埔鄉</t>
    </r>
  </si>
  <si>
    <r>
      <rPr>
        <sz val="11"/>
        <color theme="1"/>
        <rFont val="微軟正黑體"/>
        <family val="2"/>
        <charset val="136"/>
      </rPr>
      <t>竹崎鄉</t>
    </r>
  </si>
  <si>
    <r>
      <rPr>
        <sz val="9"/>
        <color theme="1"/>
        <rFont val="微軟正黑體"/>
        <family val="2"/>
        <charset val="136"/>
      </rPr>
      <t>大尖山與觸口、梅山斷層</t>
    </r>
  </si>
  <si>
    <r>
      <rPr>
        <sz val="11"/>
        <color theme="1"/>
        <rFont val="微軟正黑體"/>
        <family val="2"/>
        <charset val="136"/>
      </rPr>
      <t>梅山鄉</t>
    </r>
  </si>
  <si>
    <r>
      <rPr>
        <sz val="11"/>
        <color theme="1"/>
        <rFont val="微軟正黑體"/>
        <family val="2"/>
        <charset val="136"/>
      </rPr>
      <t>番路鄉</t>
    </r>
  </si>
  <si>
    <r>
      <rPr>
        <sz val="11"/>
        <color theme="1"/>
        <rFont val="微軟正黑體"/>
        <family val="2"/>
        <charset val="136"/>
      </rPr>
      <t>大埔鄉</t>
    </r>
  </si>
  <si>
    <r>
      <rPr>
        <sz val="11"/>
        <color theme="1"/>
        <rFont val="微軟正黑體"/>
        <family val="2"/>
        <charset val="136"/>
      </rPr>
      <t>阿里山鄉</t>
    </r>
  </si>
  <si>
    <r>
      <rPr>
        <sz val="11"/>
        <color theme="1"/>
        <rFont val="微軟正黑體"/>
        <family val="2"/>
        <charset val="136"/>
      </rPr>
      <t>新營市</t>
    </r>
  </si>
  <si>
    <r>
      <rPr>
        <sz val="11"/>
        <color theme="1"/>
        <rFont val="微軟正黑體"/>
        <family val="2"/>
        <charset val="136"/>
      </rPr>
      <t>鹽水鎮</t>
    </r>
  </si>
  <si>
    <r>
      <rPr>
        <sz val="11"/>
        <color theme="1"/>
        <rFont val="微軟正黑體"/>
        <family val="2"/>
        <charset val="136"/>
      </rPr>
      <t>白河鎮</t>
    </r>
  </si>
  <si>
    <r>
      <rPr>
        <sz val="11"/>
        <color theme="1"/>
        <rFont val="微軟正黑體"/>
        <family val="2"/>
        <charset val="136"/>
      </rPr>
      <t>柳營鄉</t>
    </r>
  </si>
  <si>
    <r>
      <rPr>
        <sz val="11"/>
        <color theme="1"/>
        <rFont val="微軟正黑體"/>
        <family val="2"/>
        <charset val="136"/>
      </rPr>
      <t>後壁鄉</t>
    </r>
  </si>
  <si>
    <r>
      <rPr>
        <sz val="11"/>
        <color theme="1"/>
        <rFont val="微軟正黑體"/>
        <family val="2"/>
        <charset val="136"/>
      </rPr>
      <t>東山鄉</t>
    </r>
  </si>
  <si>
    <r>
      <rPr>
        <sz val="11"/>
        <color theme="1"/>
        <rFont val="微軟正黑體"/>
        <family val="2"/>
        <charset val="136"/>
      </rPr>
      <t>麻豆鎮</t>
    </r>
  </si>
  <si>
    <r>
      <rPr>
        <sz val="11"/>
        <color theme="1"/>
        <rFont val="微軟正黑體"/>
        <family val="2"/>
        <charset val="136"/>
      </rPr>
      <t>下營鄉</t>
    </r>
  </si>
  <si>
    <r>
      <rPr>
        <sz val="11"/>
        <color theme="1"/>
        <rFont val="微軟正黑體"/>
        <family val="2"/>
        <charset val="136"/>
      </rPr>
      <t>六甲鄉</t>
    </r>
  </si>
  <si>
    <r>
      <rPr>
        <sz val="11"/>
        <color theme="1"/>
        <rFont val="微軟正黑體"/>
        <family val="2"/>
        <charset val="136"/>
      </rPr>
      <t>官田鄉</t>
    </r>
  </si>
  <si>
    <r>
      <rPr>
        <sz val="11"/>
        <color theme="1"/>
        <rFont val="微軟正黑體"/>
        <family val="2"/>
        <charset val="136"/>
      </rPr>
      <t>大內鄉</t>
    </r>
  </si>
  <si>
    <r>
      <rPr>
        <sz val="9"/>
        <color theme="1"/>
        <rFont val="微軟正黑體"/>
        <family val="2"/>
        <charset val="136"/>
      </rPr>
      <t>新化斷層</t>
    </r>
  </si>
  <si>
    <r>
      <rPr>
        <sz val="11"/>
        <color theme="1"/>
        <rFont val="微軟正黑體"/>
        <family val="2"/>
        <charset val="136"/>
      </rPr>
      <t>佳里鎮</t>
    </r>
  </si>
  <si>
    <r>
      <rPr>
        <sz val="11"/>
        <color theme="1"/>
        <rFont val="微軟正黑體"/>
        <family val="2"/>
        <charset val="136"/>
      </rPr>
      <t>學甲鎮</t>
    </r>
  </si>
  <si>
    <r>
      <rPr>
        <sz val="11"/>
        <color theme="1"/>
        <rFont val="微軟正黑體"/>
        <family val="2"/>
        <charset val="136"/>
      </rPr>
      <t>西港鄉</t>
    </r>
  </si>
  <si>
    <r>
      <rPr>
        <sz val="11"/>
        <color theme="1"/>
        <rFont val="微軟正黑體"/>
        <family val="2"/>
        <charset val="136"/>
      </rPr>
      <t>七股鄉</t>
    </r>
  </si>
  <si>
    <r>
      <rPr>
        <sz val="11"/>
        <color theme="1"/>
        <rFont val="微軟正黑體"/>
        <family val="2"/>
        <charset val="136"/>
      </rPr>
      <t>將軍鄉</t>
    </r>
  </si>
  <si>
    <r>
      <rPr>
        <sz val="11"/>
        <color theme="1"/>
        <rFont val="微軟正黑體"/>
        <family val="2"/>
        <charset val="136"/>
      </rPr>
      <t>北門鄉</t>
    </r>
  </si>
  <si>
    <r>
      <rPr>
        <sz val="11"/>
        <color theme="1"/>
        <rFont val="微軟正黑體"/>
        <family val="2"/>
        <charset val="136"/>
      </rPr>
      <t>新化鎮</t>
    </r>
  </si>
  <si>
    <r>
      <rPr>
        <sz val="11"/>
        <color theme="1"/>
        <rFont val="微軟正黑體"/>
        <family val="2"/>
        <charset val="136"/>
      </rPr>
      <t>善化鎮</t>
    </r>
  </si>
  <si>
    <r>
      <rPr>
        <sz val="11"/>
        <color theme="1"/>
        <rFont val="微軟正黑體"/>
        <family val="2"/>
        <charset val="136"/>
      </rPr>
      <t>新市鄉</t>
    </r>
  </si>
  <si>
    <r>
      <rPr>
        <sz val="11"/>
        <color theme="1"/>
        <rFont val="微軟正黑體"/>
        <family val="2"/>
        <charset val="136"/>
      </rPr>
      <t>安定鄉</t>
    </r>
  </si>
  <si>
    <r>
      <rPr>
        <sz val="11"/>
        <color theme="1"/>
        <rFont val="微軟正黑體"/>
        <family val="2"/>
        <charset val="136"/>
      </rPr>
      <t>山上鄉</t>
    </r>
  </si>
  <si>
    <r>
      <rPr>
        <sz val="11"/>
        <color theme="1"/>
        <rFont val="微軟正黑體"/>
        <family val="2"/>
        <charset val="136"/>
      </rPr>
      <t>玉井鄉</t>
    </r>
  </si>
  <si>
    <r>
      <rPr>
        <sz val="11"/>
        <color theme="1"/>
        <rFont val="微軟正黑體"/>
        <family val="2"/>
        <charset val="136"/>
      </rPr>
      <t>楠西鄉</t>
    </r>
  </si>
  <si>
    <r>
      <rPr>
        <sz val="11"/>
        <color theme="1"/>
        <rFont val="微軟正黑體"/>
        <family val="2"/>
        <charset val="136"/>
      </rPr>
      <t>南化鄉</t>
    </r>
  </si>
  <si>
    <r>
      <rPr>
        <sz val="11"/>
        <color theme="1"/>
        <rFont val="微軟正黑體"/>
        <family val="2"/>
        <charset val="136"/>
      </rPr>
      <t>左鎮鄉</t>
    </r>
  </si>
  <si>
    <r>
      <rPr>
        <sz val="11"/>
        <color theme="1"/>
        <rFont val="微軟正黑體"/>
        <family val="2"/>
        <charset val="136"/>
      </rPr>
      <t>仁德鄉</t>
    </r>
  </si>
  <si>
    <r>
      <rPr>
        <sz val="11"/>
        <color theme="1"/>
        <rFont val="微軟正黑體"/>
        <family val="2"/>
        <charset val="136"/>
      </rPr>
      <t>歸仁鄉</t>
    </r>
  </si>
  <si>
    <r>
      <rPr>
        <sz val="11"/>
        <color theme="1"/>
        <rFont val="微軟正黑體"/>
        <family val="2"/>
        <charset val="136"/>
      </rPr>
      <t>關廟鄉</t>
    </r>
  </si>
  <si>
    <r>
      <rPr>
        <sz val="11"/>
        <color theme="1"/>
        <rFont val="微軟正黑體"/>
        <family val="2"/>
        <charset val="136"/>
      </rPr>
      <t>龍崎鄉</t>
    </r>
  </si>
  <si>
    <r>
      <rPr>
        <sz val="11"/>
        <color theme="1"/>
        <rFont val="微軟正黑體"/>
        <family val="2"/>
        <charset val="136"/>
      </rPr>
      <t>永康市</t>
    </r>
  </si>
  <si>
    <r>
      <rPr>
        <sz val="11"/>
        <color theme="1"/>
        <rFont val="微軟正黑體"/>
        <family val="2"/>
        <charset val="136"/>
      </rPr>
      <t>安南區</t>
    </r>
  </si>
  <si>
    <r>
      <rPr>
        <sz val="11"/>
        <color theme="1"/>
        <rFont val="微軟正黑體"/>
        <family val="2"/>
        <charset val="136"/>
      </rPr>
      <t>安平區</t>
    </r>
  </si>
  <si>
    <r>
      <rPr>
        <sz val="11"/>
        <color theme="1"/>
        <rFont val="微軟正黑體"/>
        <family val="2"/>
        <charset val="136"/>
      </rPr>
      <t>鳳山市</t>
    </r>
  </si>
  <si>
    <r>
      <rPr>
        <sz val="11"/>
        <color theme="1"/>
        <rFont val="微軟正黑體"/>
        <family val="2"/>
        <charset val="136"/>
      </rPr>
      <t>林園鄉</t>
    </r>
  </si>
  <si>
    <r>
      <rPr>
        <sz val="11"/>
        <color theme="1"/>
        <rFont val="微軟正黑體"/>
        <family val="2"/>
        <charset val="136"/>
      </rPr>
      <t>大寮鄉</t>
    </r>
  </si>
  <si>
    <r>
      <rPr>
        <sz val="11"/>
        <color theme="1"/>
        <rFont val="微軟正黑體"/>
        <family val="2"/>
        <charset val="136"/>
      </rPr>
      <t>大樹鄉</t>
    </r>
  </si>
  <si>
    <r>
      <rPr>
        <sz val="11"/>
        <color theme="1"/>
        <rFont val="微軟正黑體"/>
        <family val="2"/>
        <charset val="136"/>
      </rPr>
      <t>大社鄉</t>
    </r>
  </si>
  <si>
    <r>
      <rPr>
        <sz val="11"/>
        <color theme="1"/>
        <rFont val="微軟正黑體"/>
        <family val="2"/>
        <charset val="136"/>
      </rPr>
      <t>仁武鄉</t>
    </r>
  </si>
  <si>
    <r>
      <rPr>
        <sz val="11"/>
        <color theme="1"/>
        <rFont val="微軟正黑體"/>
        <family val="2"/>
        <charset val="136"/>
      </rPr>
      <t>鳥松鄉</t>
    </r>
  </si>
  <si>
    <r>
      <rPr>
        <sz val="11"/>
        <color theme="1"/>
        <rFont val="微軟正黑體"/>
        <family val="2"/>
        <charset val="136"/>
      </rPr>
      <t>岡山鎮</t>
    </r>
  </si>
  <si>
    <r>
      <rPr>
        <sz val="11"/>
        <color theme="1"/>
        <rFont val="微軟正黑體"/>
        <family val="2"/>
        <charset val="136"/>
      </rPr>
      <t>橋頭鄉</t>
    </r>
  </si>
  <si>
    <r>
      <rPr>
        <sz val="11"/>
        <color theme="1"/>
        <rFont val="微軟正黑體"/>
        <family val="2"/>
        <charset val="136"/>
      </rPr>
      <t>燕巢鄉</t>
    </r>
  </si>
  <si>
    <r>
      <rPr>
        <sz val="11"/>
        <color theme="1"/>
        <rFont val="微軟正黑體"/>
        <family val="2"/>
        <charset val="136"/>
      </rPr>
      <t>田寮鄉</t>
    </r>
  </si>
  <si>
    <r>
      <rPr>
        <sz val="11"/>
        <color theme="1"/>
        <rFont val="微軟正黑體"/>
        <family val="2"/>
        <charset val="136"/>
      </rPr>
      <t>阿蓮鄉</t>
    </r>
  </si>
  <si>
    <r>
      <rPr>
        <sz val="11"/>
        <color theme="1"/>
        <rFont val="微軟正黑體"/>
        <family val="2"/>
        <charset val="136"/>
      </rPr>
      <t>路竹鄉</t>
    </r>
  </si>
  <si>
    <r>
      <rPr>
        <sz val="11"/>
        <color theme="1"/>
        <rFont val="微軟正黑體"/>
        <family val="2"/>
        <charset val="136"/>
      </rPr>
      <t>湖內鄉</t>
    </r>
  </si>
  <si>
    <r>
      <rPr>
        <sz val="11"/>
        <color theme="1"/>
        <rFont val="微軟正黑體"/>
        <family val="2"/>
        <charset val="136"/>
      </rPr>
      <t>茄萣鄉</t>
    </r>
  </si>
  <si>
    <r>
      <rPr>
        <sz val="11"/>
        <color theme="1"/>
        <rFont val="微軟正黑體"/>
        <family val="2"/>
        <charset val="136"/>
      </rPr>
      <t>永安鄉</t>
    </r>
  </si>
  <si>
    <r>
      <rPr>
        <sz val="11"/>
        <color theme="1"/>
        <rFont val="微軟正黑體"/>
        <family val="2"/>
        <charset val="136"/>
      </rPr>
      <t>彌陀鄉</t>
    </r>
  </si>
  <si>
    <r>
      <rPr>
        <sz val="11"/>
        <color theme="1"/>
        <rFont val="微軟正黑體"/>
        <family val="2"/>
        <charset val="136"/>
      </rPr>
      <t>梓官鄉</t>
    </r>
  </si>
  <si>
    <r>
      <rPr>
        <sz val="11"/>
        <color theme="1"/>
        <rFont val="微軟正黑體"/>
        <family val="2"/>
        <charset val="136"/>
      </rPr>
      <t>旗山鎮</t>
    </r>
  </si>
  <si>
    <r>
      <rPr>
        <sz val="11"/>
        <color theme="1"/>
        <rFont val="微軟正黑體"/>
        <family val="2"/>
        <charset val="136"/>
      </rPr>
      <t>美濃鎮</t>
    </r>
  </si>
  <si>
    <r>
      <rPr>
        <sz val="11"/>
        <color theme="1"/>
        <rFont val="微軟正黑體"/>
        <family val="2"/>
        <charset val="136"/>
      </rPr>
      <t>六龜鄉</t>
    </r>
  </si>
  <si>
    <r>
      <rPr>
        <sz val="11"/>
        <color theme="1"/>
        <rFont val="微軟正黑體"/>
        <family val="2"/>
        <charset val="136"/>
      </rPr>
      <t>甲仙鄉</t>
    </r>
  </si>
  <si>
    <r>
      <rPr>
        <sz val="11"/>
        <color theme="1"/>
        <rFont val="微軟正黑體"/>
        <family val="2"/>
        <charset val="136"/>
      </rPr>
      <t>杉林鄉</t>
    </r>
  </si>
  <si>
    <r>
      <rPr>
        <sz val="11"/>
        <color theme="1"/>
        <rFont val="微軟正黑體"/>
        <family val="2"/>
        <charset val="136"/>
      </rPr>
      <t>內門鄉</t>
    </r>
  </si>
  <si>
    <r>
      <rPr>
        <sz val="11"/>
        <color theme="1"/>
        <rFont val="微軟正黑體"/>
        <family val="2"/>
        <charset val="136"/>
      </rPr>
      <t>茂林鄉</t>
    </r>
  </si>
  <si>
    <r>
      <rPr>
        <sz val="11"/>
        <color theme="1"/>
        <rFont val="微軟正黑體"/>
        <family val="2"/>
        <charset val="136"/>
      </rPr>
      <t>桃源鄉</t>
    </r>
  </si>
  <si>
    <r>
      <rPr>
        <sz val="11"/>
        <color theme="1"/>
        <rFont val="微軟正黑體"/>
        <family val="2"/>
        <charset val="136"/>
      </rPr>
      <t>三民鄉</t>
    </r>
  </si>
  <si>
    <r>
      <rPr>
        <sz val="11"/>
        <color theme="1"/>
        <rFont val="微軟正黑體"/>
        <family val="2"/>
        <charset val="136"/>
      </rPr>
      <t>鹽埕區</t>
    </r>
  </si>
  <si>
    <r>
      <rPr>
        <sz val="11"/>
        <color theme="1"/>
        <rFont val="微軟正黑體"/>
        <family val="2"/>
        <charset val="136"/>
      </rPr>
      <t>鼓山區</t>
    </r>
  </si>
  <si>
    <r>
      <rPr>
        <sz val="11"/>
        <color theme="1"/>
        <rFont val="微軟正黑體"/>
        <family val="2"/>
        <charset val="136"/>
      </rPr>
      <t>左營區</t>
    </r>
  </si>
  <si>
    <r>
      <rPr>
        <sz val="11"/>
        <color theme="1"/>
        <rFont val="微軟正黑體"/>
        <family val="2"/>
        <charset val="136"/>
      </rPr>
      <t>楠梓區</t>
    </r>
  </si>
  <si>
    <r>
      <rPr>
        <sz val="11"/>
        <color theme="1"/>
        <rFont val="微軟正黑體"/>
        <family val="2"/>
        <charset val="136"/>
      </rPr>
      <t>三民區</t>
    </r>
  </si>
  <si>
    <r>
      <rPr>
        <sz val="11"/>
        <color theme="1"/>
        <rFont val="微軟正黑體"/>
        <family val="2"/>
        <charset val="136"/>
      </rPr>
      <t>新興區</t>
    </r>
  </si>
  <si>
    <r>
      <rPr>
        <sz val="11"/>
        <color theme="1"/>
        <rFont val="微軟正黑體"/>
        <family val="2"/>
        <charset val="136"/>
      </rPr>
      <t>前金區</t>
    </r>
  </si>
  <si>
    <r>
      <rPr>
        <sz val="11"/>
        <color theme="1"/>
        <rFont val="微軟正黑體"/>
        <family val="2"/>
        <charset val="136"/>
      </rPr>
      <t>苓雅區</t>
    </r>
  </si>
  <si>
    <r>
      <rPr>
        <sz val="11"/>
        <color theme="1"/>
        <rFont val="微軟正黑體"/>
        <family val="2"/>
        <charset val="136"/>
      </rPr>
      <t>前鎮區</t>
    </r>
  </si>
  <si>
    <r>
      <rPr>
        <sz val="11"/>
        <color theme="1"/>
        <rFont val="微軟正黑體"/>
        <family val="2"/>
        <charset val="136"/>
      </rPr>
      <t>旗津區</t>
    </r>
  </si>
  <si>
    <r>
      <rPr>
        <sz val="11"/>
        <color theme="1"/>
        <rFont val="微軟正黑體"/>
        <family val="2"/>
        <charset val="136"/>
      </rPr>
      <t>小港區</t>
    </r>
  </si>
  <si>
    <r>
      <rPr>
        <sz val="11"/>
        <color theme="1"/>
        <rFont val="微軟正黑體"/>
        <family val="2"/>
        <charset val="136"/>
      </rPr>
      <t>屏東市</t>
    </r>
  </si>
  <si>
    <r>
      <rPr>
        <sz val="11"/>
        <color theme="1"/>
        <rFont val="微軟正黑體"/>
        <family val="2"/>
        <charset val="136"/>
      </rPr>
      <t>潮州鎮</t>
    </r>
  </si>
  <si>
    <r>
      <rPr>
        <sz val="11"/>
        <color theme="1"/>
        <rFont val="微軟正黑體"/>
        <family val="2"/>
        <charset val="136"/>
      </rPr>
      <t>東港鎮</t>
    </r>
  </si>
  <si>
    <r>
      <rPr>
        <sz val="11"/>
        <color theme="1"/>
        <rFont val="微軟正黑體"/>
        <family val="2"/>
        <charset val="136"/>
      </rPr>
      <t>恆春鎮</t>
    </r>
  </si>
  <si>
    <r>
      <rPr>
        <sz val="11"/>
        <color theme="1"/>
        <rFont val="微軟正黑體"/>
        <family val="2"/>
        <charset val="136"/>
      </rPr>
      <t>萬丹鄉</t>
    </r>
  </si>
  <si>
    <r>
      <rPr>
        <sz val="11"/>
        <color theme="1"/>
        <rFont val="微軟正黑體"/>
        <family val="2"/>
        <charset val="136"/>
      </rPr>
      <t>長治鄉</t>
    </r>
  </si>
  <si>
    <r>
      <rPr>
        <sz val="11"/>
        <color theme="1"/>
        <rFont val="微軟正黑體"/>
        <family val="2"/>
        <charset val="136"/>
      </rPr>
      <t>麟洛鄉</t>
    </r>
  </si>
  <si>
    <r>
      <rPr>
        <sz val="11"/>
        <color theme="1"/>
        <rFont val="微軟正黑體"/>
        <family val="2"/>
        <charset val="136"/>
      </rPr>
      <t>九如鄉</t>
    </r>
  </si>
  <si>
    <r>
      <rPr>
        <sz val="11"/>
        <color theme="1"/>
        <rFont val="微軟正黑體"/>
        <family val="2"/>
        <charset val="136"/>
      </rPr>
      <t>里港鄉</t>
    </r>
  </si>
  <si>
    <r>
      <rPr>
        <sz val="11"/>
        <color theme="1"/>
        <rFont val="微軟正黑體"/>
        <family val="2"/>
        <charset val="136"/>
      </rPr>
      <t>鹽埔鄉</t>
    </r>
  </si>
  <si>
    <r>
      <rPr>
        <sz val="11"/>
        <color theme="1"/>
        <rFont val="微軟正黑體"/>
        <family val="2"/>
        <charset val="136"/>
      </rPr>
      <t>高樹鄉</t>
    </r>
  </si>
  <si>
    <r>
      <rPr>
        <sz val="11"/>
        <color theme="1"/>
        <rFont val="微軟正黑體"/>
        <family val="2"/>
        <charset val="136"/>
      </rPr>
      <t>萬巒鄉</t>
    </r>
  </si>
  <si>
    <r>
      <rPr>
        <sz val="11"/>
        <color theme="1"/>
        <rFont val="微軟正黑體"/>
        <family val="2"/>
        <charset val="136"/>
      </rPr>
      <t>內埔鄉</t>
    </r>
  </si>
  <si>
    <r>
      <rPr>
        <sz val="11"/>
        <color theme="1"/>
        <rFont val="微軟正黑體"/>
        <family val="2"/>
        <charset val="136"/>
      </rPr>
      <t>竹田鄉</t>
    </r>
  </si>
  <si>
    <r>
      <rPr>
        <sz val="11"/>
        <color theme="1"/>
        <rFont val="微軟正黑體"/>
        <family val="2"/>
        <charset val="136"/>
      </rPr>
      <t>新埤鄉</t>
    </r>
  </si>
  <si>
    <r>
      <rPr>
        <sz val="11"/>
        <color theme="1"/>
        <rFont val="微軟正黑體"/>
        <family val="2"/>
        <charset val="136"/>
      </rPr>
      <t>枋寮鄉</t>
    </r>
  </si>
  <si>
    <r>
      <rPr>
        <sz val="11"/>
        <color theme="1"/>
        <rFont val="微軟正黑體"/>
        <family val="2"/>
        <charset val="136"/>
      </rPr>
      <t>新園鄉</t>
    </r>
  </si>
  <si>
    <r>
      <rPr>
        <sz val="11"/>
        <color theme="1"/>
        <rFont val="微軟正黑體"/>
        <family val="2"/>
        <charset val="136"/>
      </rPr>
      <t>崁頂鄉</t>
    </r>
  </si>
  <si>
    <r>
      <rPr>
        <sz val="11"/>
        <color theme="1"/>
        <rFont val="微軟正黑體"/>
        <family val="2"/>
        <charset val="136"/>
      </rPr>
      <t>林邊鄉</t>
    </r>
  </si>
  <si>
    <r>
      <rPr>
        <sz val="11"/>
        <color theme="1"/>
        <rFont val="微軟正黑體"/>
        <family val="2"/>
        <charset val="136"/>
      </rPr>
      <t>南州鄉</t>
    </r>
  </si>
  <si>
    <r>
      <rPr>
        <sz val="11"/>
        <color theme="1"/>
        <rFont val="微軟正黑體"/>
        <family val="2"/>
        <charset val="136"/>
      </rPr>
      <t>佳冬鄉</t>
    </r>
  </si>
  <si>
    <r>
      <rPr>
        <sz val="11"/>
        <color theme="1"/>
        <rFont val="微軟正黑體"/>
        <family val="2"/>
        <charset val="136"/>
      </rPr>
      <t>琉球鄉</t>
    </r>
  </si>
  <si>
    <r>
      <rPr>
        <sz val="11"/>
        <color theme="1"/>
        <rFont val="微軟正黑體"/>
        <family val="2"/>
        <charset val="136"/>
      </rPr>
      <t>車城鄉</t>
    </r>
  </si>
  <si>
    <r>
      <rPr>
        <sz val="11"/>
        <color theme="1"/>
        <rFont val="微軟正黑體"/>
        <family val="2"/>
        <charset val="136"/>
      </rPr>
      <t>滿州鄉</t>
    </r>
  </si>
  <si>
    <r>
      <rPr>
        <sz val="11"/>
        <color theme="1"/>
        <rFont val="微軟正黑體"/>
        <family val="2"/>
        <charset val="136"/>
      </rPr>
      <t>枋山鄉</t>
    </r>
  </si>
  <si>
    <r>
      <rPr>
        <sz val="11"/>
        <color theme="1"/>
        <rFont val="微軟正黑體"/>
        <family val="2"/>
        <charset val="136"/>
      </rPr>
      <t>三地門鄉</t>
    </r>
  </si>
  <si>
    <r>
      <rPr>
        <sz val="11"/>
        <color theme="1"/>
        <rFont val="微軟正黑體"/>
        <family val="2"/>
        <charset val="136"/>
      </rPr>
      <t>霧臺鄉</t>
    </r>
  </si>
  <si>
    <r>
      <rPr>
        <sz val="11"/>
        <color theme="1"/>
        <rFont val="微軟正黑體"/>
        <family val="2"/>
        <charset val="136"/>
      </rPr>
      <t>瑪家鄉</t>
    </r>
  </si>
  <si>
    <r>
      <rPr>
        <sz val="11"/>
        <color theme="1"/>
        <rFont val="微軟正黑體"/>
        <family val="2"/>
        <charset val="136"/>
      </rPr>
      <t>泰武鄉</t>
    </r>
  </si>
  <si>
    <r>
      <rPr>
        <sz val="11"/>
        <color theme="1"/>
        <rFont val="微軟正黑體"/>
        <family val="2"/>
        <charset val="136"/>
      </rPr>
      <t>來義鄉</t>
    </r>
  </si>
  <si>
    <r>
      <rPr>
        <sz val="11"/>
        <color theme="1"/>
        <rFont val="微軟正黑體"/>
        <family val="2"/>
        <charset val="136"/>
      </rPr>
      <t>春日鄉</t>
    </r>
  </si>
  <si>
    <r>
      <rPr>
        <sz val="11"/>
        <color theme="1"/>
        <rFont val="微軟正黑體"/>
        <family val="2"/>
        <charset val="136"/>
      </rPr>
      <t>獅子鄉</t>
    </r>
  </si>
  <si>
    <r>
      <rPr>
        <sz val="11"/>
        <color theme="1"/>
        <rFont val="微軟正黑體"/>
        <family val="2"/>
        <charset val="136"/>
      </rPr>
      <t>牡丹鄉</t>
    </r>
  </si>
  <si>
    <r>
      <rPr>
        <sz val="11"/>
        <color theme="1"/>
        <rFont val="微軟正黑體"/>
        <family val="2"/>
        <charset val="136"/>
      </rPr>
      <t>馬公市</t>
    </r>
  </si>
  <si>
    <r>
      <rPr>
        <sz val="11"/>
        <color theme="1"/>
        <rFont val="微軟正黑體"/>
        <family val="2"/>
        <charset val="136"/>
      </rPr>
      <t>湖西鄉</t>
    </r>
  </si>
  <si>
    <r>
      <rPr>
        <sz val="11"/>
        <color theme="1"/>
        <rFont val="微軟正黑體"/>
        <family val="2"/>
        <charset val="136"/>
      </rPr>
      <t>白沙鄉</t>
    </r>
  </si>
  <si>
    <r>
      <rPr>
        <sz val="11"/>
        <color theme="1"/>
        <rFont val="微軟正黑體"/>
        <family val="2"/>
        <charset val="136"/>
      </rPr>
      <t>西嶼鄉</t>
    </r>
  </si>
  <si>
    <r>
      <rPr>
        <sz val="11"/>
        <color theme="1"/>
        <rFont val="微軟正黑體"/>
        <family val="2"/>
        <charset val="136"/>
      </rPr>
      <t>望安鄉</t>
    </r>
  </si>
  <si>
    <r>
      <rPr>
        <sz val="11"/>
        <color theme="1"/>
        <rFont val="微軟正黑體"/>
        <family val="2"/>
        <charset val="136"/>
      </rPr>
      <t>臺東市</t>
    </r>
  </si>
  <si>
    <r>
      <rPr>
        <sz val="11"/>
        <color theme="1"/>
        <rFont val="微軟正黑體"/>
        <family val="2"/>
        <charset val="136"/>
      </rPr>
      <t>成功鎮</t>
    </r>
  </si>
  <si>
    <r>
      <rPr>
        <sz val="9"/>
        <color theme="1"/>
        <rFont val="微軟正黑體"/>
        <family val="2"/>
        <charset val="136"/>
      </rPr>
      <t>花東地區斷層</t>
    </r>
  </si>
  <si>
    <r>
      <rPr>
        <sz val="11"/>
        <color theme="1"/>
        <rFont val="微軟正黑體"/>
        <family val="2"/>
        <charset val="136"/>
      </rPr>
      <t>關山鎮</t>
    </r>
  </si>
  <si>
    <r>
      <rPr>
        <sz val="11"/>
        <color theme="1"/>
        <rFont val="微軟正黑體"/>
        <family val="2"/>
        <charset val="136"/>
      </rPr>
      <t>卑南鄉</t>
    </r>
  </si>
  <si>
    <r>
      <rPr>
        <sz val="11"/>
        <color theme="1"/>
        <rFont val="微軟正黑體"/>
        <family val="2"/>
        <charset val="136"/>
      </rPr>
      <t>鹿野鄉</t>
    </r>
  </si>
  <si>
    <r>
      <rPr>
        <sz val="11"/>
        <color theme="1"/>
        <rFont val="微軟正黑體"/>
        <family val="2"/>
        <charset val="136"/>
      </rPr>
      <t>池上鄉</t>
    </r>
  </si>
  <si>
    <r>
      <rPr>
        <sz val="11"/>
        <color theme="1"/>
        <rFont val="微軟正黑體"/>
        <family val="2"/>
        <charset val="136"/>
      </rPr>
      <t>東河鄉</t>
    </r>
  </si>
  <si>
    <r>
      <rPr>
        <sz val="11"/>
        <color theme="1"/>
        <rFont val="微軟正黑體"/>
        <family val="2"/>
        <charset val="136"/>
      </rPr>
      <t>長濱鄉</t>
    </r>
  </si>
  <si>
    <r>
      <rPr>
        <sz val="11"/>
        <color theme="1"/>
        <rFont val="微軟正黑體"/>
        <family val="2"/>
        <charset val="136"/>
      </rPr>
      <t>太麻里鄉</t>
    </r>
  </si>
  <si>
    <r>
      <rPr>
        <sz val="11"/>
        <color theme="1"/>
        <rFont val="微軟正黑體"/>
        <family val="2"/>
        <charset val="136"/>
      </rPr>
      <t>大武鄉</t>
    </r>
  </si>
  <si>
    <r>
      <rPr>
        <sz val="11"/>
        <color theme="1"/>
        <rFont val="微軟正黑體"/>
        <family val="2"/>
        <charset val="136"/>
      </rPr>
      <t>綠島鄉</t>
    </r>
  </si>
  <si>
    <r>
      <rPr>
        <sz val="11"/>
        <color theme="1"/>
        <rFont val="微軟正黑體"/>
        <family val="2"/>
        <charset val="136"/>
      </rPr>
      <t>海端鄉</t>
    </r>
  </si>
  <si>
    <r>
      <rPr>
        <sz val="11"/>
        <color theme="1"/>
        <rFont val="微軟正黑體"/>
        <family val="2"/>
        <charset val="136"/>
      </rPr>
      <t>延平鄉</t>
    </r>
  </si>
  <si>
    <r>
      <rPr>
        <sz val="11"/>
        <color theme="1"/>
        <rFont val="微軟正黑體"/>
        <family val="2"/>
        <charset val="136"/>
      </rPr>
      <t>金峰鄉</t>
    </r>
  </si>
  <si>
    <r>
      <rPr>
        <sz val="11"/>
        <color theme="1"/>
        <rFont val="微軟正黑體"/>
        <family val="2"/>
        <charset val="136"/>
      </rPr>
      <t>達仁鄉</t>
    </r>
  </si>
  <si>
    <r>
      <rPr>
        <sz val="11"/>
        <color theme="1"/>
        <rFont val="微軟正黑體"/>
        <family val="2"/>
        <charset val="136"/>
      </rPr>
      <t>蘭嶼鄉</t>
    </r>
  </si>
  <si>
    <r>
      <rPr>
        <sz val="11"/>
        <color theme="1"/>
        <rFont val="微軟正黑體"/>
        <family val="2"/>
        <charset val="136"/>
      </rPr>
      <t>花蓮市</t>
    </r>
  </si>
  <si>
    <r>
      <rPr>
        <sz val="11"/>
        <color theme="1"/>
        <rFont val="微軟正黑體"/>
        <family val="2"/>
        <charset val="136"/>
      </rPr>
      <t>鳳林鎮</t>
    </r>
  </si>
  <si>
    <r>
      <rPr>
        <sz val="11"/>
        <color theme="1"/>
        <rFont val="微軟正黑體"/>
        <family val="2"/>
        <charset val="136"/>
      </rPr>
      <t>玉里鎮</t>
    </r>
  </si>
  <si>
    <r>
      <rPr>
        <sz val="11"/>
        <color theme="1"/>
        <rFont val="微軟正黑體"/>
        <family val="2"/>
        <charset val="136"/>
      </rPr>
      <t>新城鄉</t>
    </r>
  </si>
  <si>
    <r>
      <rPr>
        <sz val="11"/>
        <color theme="1"/>
        <rFont val="微軟正黑體"/>
        <family val="2"/>
        <charset val="136"/>
      </rPr>
      <t>吉安鄉</t>
    </r>
  </si>
  <si>
    <r>
      <rPr>
        <sz val="11"/>
        <color theme="1"/>
        <rFont val="微軟正黑體"/>
        <family val="2"/>
        <charset val="136"/>
      </rPr>
      <t>壽豐鄉</t>
    </r>
  </si>
  <si>
    <r>
      <rPr>
        <sz val="11"/>
        <color theme="1"/>
        <rFont val="微軟正黑體"/>
        <family val="2"/>
        <charset val="136"/>
      </rPr>
      <t>光復鄉</t>
    </r>
  </si>
  <si>
    <r>
      <rPr>
        <sz val="11"/>
        <color theme="1"/>
        <rFont val="微軟正黑體"/>
        <family val="2"/>
        <charset val="136"/>
      </rPr>
      <t>豐濱鄉</t>
    </r>
  </si>
  <si>
    <r>
      <rPr>
        <sz val="11"/>
        <color theme="1"/>
        <rFont val="微軟正黑體"/>
        <family val="2"/>
        <charset val="136"/>
      </rPr>
      <t>瑞穗鄉</t>
    </r>
  </si>
  <si>
    <r>
      <rPr>
        <sz val="11"/>
        <color theme="1"/>
        <rFont val="微軟正黑體"/>
        <family val="2"/>
        <charset val="136"/>
      </rPr>
      <t>富里鄉</t>
    </r>
  </si>
  <si>
    <r>
      <rPr>
        <sz val="11"/>
        <color theme="1"/>
        <rFont val="微軟正黑體"/>
        <family val="2"/>
        <charset val="136"/>
      </rPr>
      <t>秀林鄉</t>
    </r>
  </si>
  <si>
    <r>
      <rPr>
        <sz val="11"/>
        <color theme="1"/>
        <rFont val="微軟正黑體"/>
        <family val="2"/>
        <charset val="136"/>
      </rPr>
      <t>萬榮鄉</t>
    </r>
  </si>
  <si>
    <r>
      <rPr>
        <sz val="11"/>
        <color theme="1"/>
        <rFont val="微軟正黑體"/>
        <family val="2"/>
        <charset val="136"/>
      </rPr>
      <t>卓溪鄉</t>
    </r>
  </si>
  <si>
    <r>
      <rPr>
        <sz val="11"/>
        <color theme="1"/>
        <rFont val="微軟正黑體"/>
        <family val="2"/>
        <charset val="136"/>
      </rPr>
      <t>金門與馬祖地區</t>
    </r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</si>
  <si>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</si>
  <si>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</si>
  <si>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S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</si>
  <si>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rFont val="Calibri"/>
        <family val="2"/>
      </rPr>
      <t>1</t>
    </r>
    <r>
      <rPr>
        <b/>
        <vertAlign val="superscript"/>
        <sz val="12"/>
        <rFont val="Calibri"/>
        <family val="2"/>
      </rPr>
      <t>M</t>
    </r>
    <phoneticPr fontId="11" type="noConversion"/>
  </si>
  <si>
    <r>
      <rPr>
        <b/>
        <sz val="12"/>
        <color theme="0"/>
        <rFont val="微軟正黑體"/>
        <family val="2"/>
        <charset val="136"/>
      </rPr>
      <t>縣市</t>
    </r>
  </si>
  <si>
    <r>
      <rPr>
        <b/>
        <sz val="12"/>
        <color theme="0"/>
        <rFont val="微軟正黑體"/>
        <family val="2"/>
        <charset val="136"/>
      </rPr>
      <t>鄉鎮市區</t>
    </r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</si>
  <si>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</si>
  <si>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D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</si>
  <si>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S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</si>
  <si>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t>S</t>
    </r>
    <r>
      <rPr>
        <b/>
        <vertAlign val="subscript"/>
        <sz val="12"/>
        <color theme="0"/>
        <rFont val="Calibri"/>
        <family val="2"/>
      </rPr>
      <t>1</t>
    </r>
    <r>
      <rPr>
        <b/>
        <vertAlign val="superscript"/>
        <sz val="12"/>
        <color theme="0"/>
        <rFont val="Calibri"/>
        <family val="2"/>
      </rPr>
      <t>M</t>
    </r>
    <phoneticPr fontId="11" type="noConversion"/>
  </si>
  <si>
    <r>
      <rPr>
        <b/>
        <sz val="11"/>
        <color theme="0"/>
        <rFont val="微軟正黑體"/>
        <family val="2"/>
        <charset val="136"/>
      </rPr>
      <t>臨近之斷層</t>
    </r>
  </si>
  <si>
    <t>建築物法規地震力</t>
    <phoneticPr fontId="11" type="noConversion"/>
  </si>
  <si>
    <t>建築物耐震設計規範及解說(95)</t>
    <phoneticPr fontId="11" type="noConversion"/>
  </si>
  <si>
    <t>工址位置</t>
    <phoneticPr fontId="11" type="noConversion"/>
  </si>
  <si>
    <t>鄰近之斷層</t>
    <phoneticPr fontId="11" type="noConversion"/>
  </si>
  <si>
    <t>基本結構系統</t>
  </si>
  <si>
    <t>抵抗地震力結構系統敘述</t>
  </si>
  <si>
    <t>R</t>
  </si>
  <si>
    <t>三、抗彎矩構架系統</t>
  </si>
  <si>
    <t>四、二元系統</t>
  </si>
  <si>
    <t>不限</t>
  </si>
  <si>
    <t>高度限制（m）</t>
  </si>
  <si>
    <t>1.韌性抗彎矩構架（SMRF）</t>
  </si>
  <si>
    <t xml:space="preserve"> (1)鋼造</t>
  </si>
  <si>
    <t xml:space="preserve"> (2)混凝土造</t>
  </si>
  <si>
    <t xml:space="preserve"> (3)合成構造</t>
  </si>
  <si>
    <t xml:space="preserve"> (4)具非結構牆</t>
  </si>
  <si>
    <t>2.部分韌性抗彎矩構架</t>
  </si>
  <si>
    <t xml:space="preserve"> (2)鋼筋混凝土造</t>
  </si>
  <si>
    <t>3.鋼造韌性桁架</t>
  </si>
  <si>
    <t>1.剪力牆</t>
  </si>
  <si>
    <t xml:space="preserve"> (1)鋼筋混凝土造，具SMRF </t>
  </si>
  <si>
    <t xml:space="preserve"> (2)鋼筋混凝土造，具非結構牆SMRF </t>
  </si>
  <si>
    <t xml:space="preserve"> (3)鋼造，具SMRF </t>
  </si>
  <si>
    <t xml:space="preserve"> (4)鋼造，具非結構牆SMRF  </t>
  </si>
  <si>
    <t xml:space="preserve"> (5)磚石造，但具SMRF </t>
  </si>
  <si>
    <t>2.斜撐系統</t>
  </si>
  <si>
    <t xml:space="preserve">(1)鋼造偏心斜撐，具SMRF </t>
  </si>
  <si>
    <t>(2)鋼造特殊同心斜撐，具SMRF</t>
  </si>
  <si>
    <t>(3)鋼造偏心斜撐，具非結構牆SMRF</t>
  </si>
  <si>
    <t>(4)鋼造特殊同心斜撐，具非結構牆SMRF</t>
  </si>
  <si>
    <t>一、承重牆系統</t>
  </si>
  <si>
    <t>二、構架系統</t>
  </si>
  <si>
    <t>1.具剪力嵌版之輕構架牆</t>
  </si>
  <si>
    <t xml:space="preserve"> (1)三樓以下三夾版嵌版牆</t>
  </si>
  <si>
    <t xml:space="preserve"> (2)其他輕構架嵌版牆</t>
  </si>
  <si>
    <t>2.剪力牆</t>
  </si>
  <si>
    <t xml:space="preserve"> (1)鋼筋混凝土造</t>
  </si>
  <si>
    <t xml:space="preserve"> (2)磚石造</t>
  </si>
  <si>
    <t>3.僅具受拉斜撐之輕量鋼架承重牆</t>
  </si>
  <si>
    <t>4.斜撐承受垂直載重之斜撐構架</t>
  </si>
  <si>
    <t xml:space="preserve"> (2)木造 </t>
  </si>
  <si>
    <t>1.鋼造偏心斜撐構架（EBF）</t>
  </si>
  <si>
    <t>2.具剪力嵌版牆之輕構牆</t>
  </si>
  <si>
    <t xml:space="preserve">3.剪力牆  </t>
  </si>
  <si>
    <t>(1)鋼造</t>
  </si>
  <si>
    <t>(2)鋼筋混凝土造</t>
  </si>
  <si>
    <t>(3)磚石造</t>
  </si>
  <si>
    <t xml:space="preserve">4.鋼造特殊同心斜撐構架（SCBF） </t>
  </si>
  <si>
    <t>5.合成構造具偏心斜撐構架</t>
  </si>
  <si>
    <t>6.合成構造具特殊同心斜撐構架（SCBF）</t>
  </si>
  <si>
    <r>
      <t>(1)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三樓以下三夾版嵌版牆</t>
    </r>
  </si>
  <si>
    <r>
      <t>(2)</t>
    </r>
    <r>
      <rPr>
        <sz val="7"/>
        <color theme="1"/>
        <rFont val="微軟正黑體"/>
        <family val="2"/>
        <charset val="136"/>
      </rPr>
      <t xml:space="preserve">   </t>
    </r>
    <r>
      <rPr>
        <sz val="12"/>
        <color theme="1"/>
        <rFont val="微軟正黑體"/>
        <family val="2"/>
        <charset val="136"/>
      </rPr>
      <t>其他輕構架嵌版牆</t>
    </r>
  </si>
  <si>
    <t>地盤分類</t>
  </si>
  <si>
    <t>第一類地盤</t>
  </si>
  <si>
    <t>第二類地盤</t>
  </si>
  <si>
    <t>第三類地盤</t>
  </si>
  <si>
    <r>
      <t>表2-2(a) 短週期結構之工址放大係數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 xml:space="preserve">a </t>
    </r>
    <r>
      <rPr>
        <sz val="12"/>
        <color theme="1"/>
        <rFont val="微軟正黑體"/>
        <family val="2"/>
        <charset val="136"/>
      </rPr>
      <t>(線性內插求值)</t>
    </r>
  </si>
  <si>
    <r>
      <t>表2-2(b) 長週期結構之工址放大係數</t>
    </r>
    <r>
      <rPr>
        <i/>
        <sz val="12"/>
        <color theme="1"/>
        <rFont val="微軟正黑體"/>
        <family val="2"/>
        <charset val="136"/>
      </rPr>
      <t>F</t>
    </r>
    <r>
      <rPr>
        <i/>
        <vertAlign val="subscript"/>
        <sz val="12"/>
        <color theme="1"/>
        <rFont val="微軟正黑體"/>
        <family val="2"/>
        <charset val="136"/>
      </rPr>
      <t>v</t>
    </r>
    <r>
      <rPr>
        <sz val="12"/>
        <color theme="1"/>
        <rFont val="微軟正黑體"/>
        <family val="2"/>
        <charset val="136"/>
      </rPr>
      <t xml:space="preserve"> (線性內插求值)</t>
    </r>
  </si>
  <si>
    <t>表2-5-1  近車籠埔斷層調整因子</t>
  </si>
  <si>
    <t>(a) 設計地震之調整因子</t>
  </si>
  <si>
    <t>(b) 最大考量地震之調整因子</t>
  </si>
  <si>
    <t>表2-5-2  近獅潭與神卓山斷層調整因子</t>
  </si>
  <si>
    <t>表2-5-3  近屯子腳斷層調整因子</t>
  </si>
  <si>
    <t>表2-5-4  近梅山斷層調整因子</t>
  </si>
  <si>
    <t>表2-5-5  近新化斷層調整因子</t>
  </si>
  <si>
    <t>表2-5-6  近大尖山與觸口斷層調整因子</t>
  </si>
  <si>
    <t>表2-5-7  近花東地區斷層(含米崙、玉里、池上與奇美斷層)調整因子</t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</si>
  <si>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A</t>
    </r>
  </si>
  <si>
    <r>
      <t>r</t>
    </r>
    <r>
      <rPr>
        <sz val="12"/>
        <color theme="1"/>
        <rFont val="微軟正黑體"/>
        <family val="2"/>
        <charset val="136"/>
      </rPr>
      <t>≦2 km</t>
    </r>
  </si>
  <si>
    <r>
      <t>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≦5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</si>
  <si>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≦8 km</t>
    </r>
  </si>
  <si>
    <r>
      <t>8km＜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≦12 km</t>
    </r>
  </si>
  <si>
    <r>
      <t>r</t>
    </r>
    <r>
      <rPr>
        <sz val="12"/>
        <color theme="1"/>
        <rFont val="微軟正黑體"/>
        <family val="2"/>
        <charset val="136"/>
      </rPr>
      <t>＞12 km</t>
    </r>
  </si>
  <si>
    <r>
      <t>N</t>
    </r>
    <r>
      <rPr>
        <i/>
        <vertAlign val="subscript"/>
        <sz val="12"/>
        <color theme="1"/>
        <rFont val="微軟正黑體"/>
        <family val="2"/>
        <charset val="136"/>
      </rPr>
      <t>V</t>
    </r>
  </si>
  <si>
    <r>
      <t>r</t>
    </r>
    <r>
      <rPr>
        <sz val="12"/>
        <color theme="1"/>
        <rFont val="微軟正黑體"/>
        <family val="2"/>
        <charset val="136"/>
      </rPr>
      <t>＞8 km</t>
    </r>
  </si>
  <si>
    <r>
      <t>5km＜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≦10 km</t>
    </r>
  </si>
  <si>
    <r>
      <t>r</t>
    </r>
    <r>
      <rPr>
        <sz val="12"/>
        <color theme="1"/>
        <rFont val="微軟正黑體"/>
        <family val="2"/>
        <charset val="136"/>
      </rPr>
      <t>＞10 km</t>
    </r>
  </si>
  <si>
    <r>
      <t>r</t>
    </r>
    <r>
      <rPr>
        <sz val="12"/>
        <color theme="1"/>
        <rFont val="微軟正黑體"/>
        <family val="2"/>
        <charset val="136"/>
      </rPr>
      <t>＞5 km</t>
    </r>
  </si>
  <si>
    <r>
      <t>12km＜</t>
    </r>
    <r>
      <rPr>
        <i/>
        <sz val="12"/>
        <color theme="1"/>
        <rFont val="微軟正黑體"/>
        <family val="2"/>
        <charset val="136"/>
      </rPr>
      <t>r</t>
    </r>
    <r>
      <rPr>
        <sz val="12"/>
        <color theme="1"/>
        <rFont val="微軟正黑體"/>
        <family val="2"/>
        <charset val="136"/>
      </rPr>
      <t>≦15km</t>
    </r>
  </si>
  <si>
    <r>
      <t>r</t>
    </r>
    <r>
      <rPr>
        <sz val="12"/>
        <color theme="1"/>
        <rFont val="微軟正黑體"/>
        <family val="2"/>
        <charset val="136"/>
      </rPr>
      <t>＞15 km</t>
    </r>
  </si>
  <si>
    <t>近斷層效應</t>
    <phoneticPr fontId="11" type="noConversion"/>
  </si>
  <si>
    <t>地盤種類</t>
    <phoneticPr fontId="11" type="noConversion"/>
  </si>
  <si>
    <t>R=</t>
    <phoneticPr fontId="11" type="noConversion"/>
  </si>
  <si>
    <t>距工址距離</t>
    <phoneticPr fontId="11" type="noConversion"/>
  </si>
  <si>
    <t>r=</t>
    <phoneticPr fontId="11" type="noConversion"/>
  </si>
  <si>
    <t>km</t>
    <phoneticPr fontId="11" type="noConversion"/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</si>
  <si>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A</t>
    </r>
  </si>
  <si>
    <r>
      <t>N</t>
    </r>
    <r>
      <rPr>
        <b/>
        <i/>
        <vertAlign val="subscript"/>
        <sz val="12"/>
        <color theme="1"/>
        <rFont val="微軟正黑體"/>
        <family val="2"/>
        <charset val="136"/>
      </rPr>
      <t>V</t>
    </r>
  </si>
  <si>
    <r>
      <rPr>
        <b/>
        <sz val="12"/>
        <color theme="0"/>
        <rFont val="微軟正黑體"/>
        <family val="2"/>
        <charset val="136"/>
      </rPr>
      <t>臺北縣</t>
    </r>
  </si>
  <si>
    <r>
      <rPr>
        <b/>
        <sz val="11"/>
        <color theme="1"/>
        <rFont val="微軟正黑體"/>
        <family val="2"/>
        <charset val="136"/>
      </rPr>
      <t>臺北縣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</si>
  <si>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基隆市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</si>
  <si>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基隆市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</si>
  <si>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宜蘭縣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</si>
  <si>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宜蘭縣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</si>
  <si>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桃園縣</t>
    </r>
  </si>
  <si>
    <r>
      <rPr>
        <b/>
        <sz val="11"/>
        <color theme="1"/>
        <rFont val="微軟正黑體"/>
        <family val="2"/>
        <charset val="136"/>
      </rPr>
      <t>桃園縣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</si>
  <si>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</si>
  <si>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</si>
  <si>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新竹市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</si>
  <si>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新竹市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</si>
  <si>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苗栗縣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</si>
  <si>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苗栗縣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</si>
  <si>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</si>
  <si>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</si>
  <si>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臺中市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</si>
  <si>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臺中市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</si>
  <si>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彰化縣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</si>
  <si>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彰化縣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</si>
  <si>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南投縣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</si>
  <si>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南投縣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</si>
  <si>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雲林縣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</si>
  <si>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雲林縣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</si>
  <si>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</si>
  <si>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</si>
  <si>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嘉義市</t>
    </r>
    <phoneticPr fontId="11" type="noConversion"/>
  </si>
  <si>
    <r>
      <rPr>
        <b/>
        <sz val="11"/>
        <color theme="1"/>
        <rFont val="微軟正黑體"/>
        <family val="2"/>
        <charset val="136"/>
      </rPr>
      <t>嘉義市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</si>
  <si>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</si>
  <si>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臺南縣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</si>
  <si>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臺南市</t>
    </r>
  </si>
  <si>
    <r>
      <rPr>
        <b/>
        <sz val="11"/>
        <color theme="1"/>
        <rFont val="微軟正黑體"/>
        <family val="2"/>
        <charset val="136"/>
      </rPr>
      <t>臺南市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</si>
  <si>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</si>
  <si>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</si>
  <si>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高雄市</t>
    </r>
    <phoneticPr fontId="11" type="noConversion"/>
  </si>
  <si>
    <r>
      <rPr>
        <b/>
        <sz val="12"/>
        <color theme="0"/>
        <rFont val="微軟正黑體"/>
        <family val="2"/>
        <charset val="136"/>
      </rPr>
      <t>屏東縣</t>
    </r>
    <phoneticPr fontId="11" type="noConversion"/>
  </si>
  <si>
    <r>
      <rPr>
        <b/>
        <sz val="11"/>
        <color theme="1"/>
        <rFont val="微軟正黑體"/>
        <family val="2"/>
        <charset val="136"/>
      </rPr>
      <t>屏東縣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</si>
  <si>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澎湖縣</t>
    </r>
  </si>
  <si>
    <r>
      <rPr>
        <b/>
        <sz val="11"/>
        <color theme="1"/>
        <rFont val="微軟正黑體"/>
        <family val="2"/>
        <charset val="136"/>
      </rPr>
      <t>澎湖縣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</si>
  <si>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臺東縣</t>
    </r>
  </si>
  <si>
    <r>
      <rPr>
        <b/>
        <sz val="11"/>
        <color theme="1"/>
        <rFont val="微軟正黑體"/>
        <family val="2"/>
        <charset val="136"/>
      </rPr>
      <t>臺東縣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</si>
  <si>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花蓮縣</t>
    </r>
  </si>
  <si>
    <r>
      <rPr>
        <b/>
        <sz val="11"/>
        <color theme="1"/>
        <rFont val="微軟正黑體"/>
        <family val="2"/>
        <charset val="136"/>
      </rPr>
      <t>花蓮縣</t>
    </r>
    <phoneticPr fontId="11" type="noConversion"/>
  </si>
  <si>
    <r>
      <rPr>
        <b/>
        <sz val="12"/>
        <color theme="0"/>
        <rFont val="微軟正黑體"/>
        <family val="2"/>
        <charset val="136"/>
      </rPr>
      <t>金門與馬祖地區</t>
    </r>
  </si>
  <si>
    <r>
      <rPr>
        <b/>
        <sz val="11"/>
        <color theme="1"/>
        <rFont val="微軟正黑體"/>
        <family val="2"/>
        <charset val="136"/>
      </rPr>
      <t>金門與馬祖地區</t>
    </r>
    <phoneticPr fontId="11" type="noConversion"/>
  </si>
  <si>
    <t>設計地震調整因子</t>
    <phoneticPr fontId="11" type="noConversion"/>
  </si>
  <si>
    <t>最大考量地震調整因子</t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</si>
  <si>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</si>
  <si>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</si>
  <si>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S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</si>
  <si>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震區短週期水平譜加速度係數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S</t>
    </r>
    <r>
      <rPr>
        <sz val="12"/>
        <color theme="1"/>
        <rFont val="微軟正黑體"/>
        <family val="2"/>
        <charset val="136"/>
      </rPr>
      <t xml:space="preserve"> 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</si>
  <si>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&lt;=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</si>
  <si>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</si>
  <si>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color theme="1"/>
        <rFont val="微軟正黑體"/>
        <family val="2"/>
        <charset val="136"/>
      </rPr>
      <t xml:space="preserve">1 </t>
    </r>
    <r>
      <rPr>
        <sz val="12"/>
        <color theme="1"/>
        <rFont val="微軟正黑體"/>
        <family val="2"/>
        <charset val="136"/>
      </rPr>
      <t>&gt;=</t>
    </r>
    <phoneticPr fontId="11" type="noConversion"/>
  </si>
  <si>
    <r>
      <t>震區一秒週期水平譜加速度係數</t>
    </r>
    <r>
      <rPr>
        <i/>
        <sz val="12"/>
        <color theme="1"/>
        <rFont val="微軟正黑體"/>
        <family val="2"/>
        <charset val="136"/>
      </rPr>
      <t>S</t>
    </r>
    <r>
      <rPr>
        <i/>
        <vertAlign val="subscript"/>
        <sz val="12"/>
        <color theme="1"/>
        <rFont val="微軟正黑體"/>
        <family val="2"/>
        <charset val="136"/>
      </rPr>
      <t>1</t>
    </r>
    <phoneticPr fontId="11" type="noConversion"/>
  </si>
  <si>
    <t>樓高</t>
    <phoneticPr fontId="11" type="noConversion"/>
  </si>
  <si>
    <t>h=</t>
    <phoneticPr fontId="11" type="noConversion"/>
  </si>
  <si>
    <t>m</t>
    <phoneticPr fontId="11" type="noConversion"/>
  </si>
  <si>
    <t>T=</t>
    <phoneticPr fontId="11" type="noConversion"/>
  </si>
  <si>
    <t>鋼構造建築物</t>
    <phoneticPr fontId="11" type="noConversion"/>
  </si>
  <si>
    <t>sec</t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</si>
  <si>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</si>
  <si>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S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</si>
  <si>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M</t>
    </r>
    <phoneticPr fontId="11" type="noConversion"/>
  </si>
  <si>
    <r>
      <t>S</t>
    </r>
    <r>
      <rPr>
        <vertAlign val="subscript"/>
        <sz val="12"/>
        <color theme="1"/>
        <rFont val="Calibri"/>
        <family val="2"/>
      </rPr>
      <t>1</t>
    </r>
    <r>
      <rPr>
        <vertAlign val="superscript"/>
        <sz val="12"/>
        <color theme="1"/>
        <rFont val="Calibri"/>
        <family val="2"/>
      </rPr>
      <t>D</t>
    </r>
    <phoneticPr fontId="11" type="noConversion"/>
  </si>
  <si>
    <t>鋼筋混泥土建築物、鋼骨鋼筋混凝土建築物及鋼造偏心斜撐建築物</t>
    <phoneticPr fontId="11" type="noConversion"/>
  </si>
  <si>
    <t>其他建築物</t>
    <phoneticPr fontId="11" type="noConversion"/>
  </si>
  <si>
    <t>第一類地盤</t>
    <phoneticPr fontId="11" type="noConversion"/>
  </si>
  <si>
    <t>第二類地盤</t>
    <phoneticPr fontId="11" type="noConversion"/>
  </si>
  <si>
    <t>第三類地盤</t>
    <phoneticPr fontId="11" type="noConversion"/>
  </si>
  <si>
    <t>Ra=</t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</si>
  <si>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</si>
  <si>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I=</t>
    <phoneticPr fontId="11" type="noConversion"/>
  </si>
  <si>
    <t>V=</t>
    <phoneticPr fontId="11" type="noConversion"/>
  </si>
  <si>
    <t>W</t>
    <phoneticPr fontId="11" type="noConversion"/>
  </si>
  <si>
    <t>V*=</t>
    <phoneticPr fontId="11" type="noConversion"/>
  </si>
  <si>
    <r>
      <t>V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</si>
  <si>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</si>
  <si>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t>高雄市</t>
    <phoneticPr fontId="11" type="noConversion"/>
  </si>
  <si>
    <t xml:space="preserve">TYPE 1000 IF NOT CONSIDER </t>
    <phoneticPr fontId="11" type="noConversion"/>
  </si>
  <si>
    <r>
      <rPr>
        <b/>
        <sz val="12"/>
        <color theme="1"/>
        <rFont val="微軟正黑體"/>
        <family val="2"/>
        <charset val="136"/>
      </rPr>
      <t>建築物法規地震力</t>
    </r>
    <phoneticPr fontId="11" type="noConversion"/>
  </si>
  <si>
    <r>
      <rPr>
        <sz val="10"/>
        <color theme="1"/>
        <rFont val="微軟正黑體"/>
        <family val="2"/>
        <charset val="136"/>
      </rPr>
      <t>建築物耐震設計規範及解說</t>
    </r>
    <r>
      <rPr>
        <sz val="10"/>
        <color theme="1"/>
        <rFont val="Calibri"/>
        <family val="2"/>
      </rPr>
      <t>(95)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</si>
  <si>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</si>
  <si>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</si>
  <si>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</si>
  <si>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</si>
  <si>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MS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S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</si>
  <si>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</si>
  <si>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</si>
  <si>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D1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</si>
  <si>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</si>
  <si>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M1</t>
    </r>
    <r>
      <rPr>
        <sz val="10"/>
        <color theme="1"/>
        <rFont val="Calibri"/>
        <family val="2"/>
      </rPr>
      <t>=S</t>
    </r>
    <r>
      <rPr>
        <vertAlign val="subscript"/>
        <sz val="10"/>
        <color theme="1"/>
        <rFont val="Calibri"/>
        <family val="2"/>
      </rPr>
      <t>1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F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</si>
  <si>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D</t>
    </r>
    <r>
      <rPr>
        <sz val="10"/>
        <color theme="1"/>
        <rFont val="Calibri"/>
        <family val="2"/>
      </rPr>
      <t>=</t>
    </r>
    <phoneticPr fontId="11" type="noConversion"/>
  </si>
  <si>
    <r>
      <t>T</t>
    </r>
    <r>
      <rPr>
        <vertAlign val="subscript"/>
        <sz val="10"/>
        <color theme="1"/>
        <rFont val="Calibri"/>
        <family val="2"/>
      </rPr>
      <t>0</t>
    </r>
    <r>
      <rPr>
        <vertAlign val="superscript"/>
        <sz val="10"/>
        <color theme="1"/>
        <rFont val="Calibri"/>
        <family val="2"/>
      </rPr>
      <t>M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</si>
  <si>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aD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</si>
  <si>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>aM</t>
    </r>
    <r>
      <rPr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</si>
  <si>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工址位置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</si>
  <si>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設計參數</t>
    </r>
    <r>
      <rPr>
        <sz val="10"/>
        <color theme="1"/>
        <rFont val="Calibri"/>
        <family val="2"/>
      </rPr>
      <t>: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</si>
  <si>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</si>
  <si>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D</t>
    </r>
    <phoneticPr fontId="11" type="noConversion"/>
  </si>
  <si>
    <r>
      <t>S</t>
    </r>
    <r>
      <rPr>
        <vertAlign val="subscript"/>
        <sz val="10"/>
        <rFont val="Calibri"/>
        <family val="2"/>
      </rPr>
      <t>S</t>
    </r>
    <r>
      <rPr>
        <vertAlign val="superscript"/>
        <sz val="10"/>
        <rFont val="Calibri"/>
        <family val="2"/>
      </rPr>
      <t>M</t>
    </r>
    <phoneticPr fontId="11" type="noConversion"/>
  </si>
  <si>
    <r>
      <t>S</t>
    </r>
    <r>
      <rPr>
        <vertAlign val="subscript"/>
        <sz val="10"/>
        <rFont val="Calibri"/>
        <family val="2"/>
      </rPr>
      <t>1</t>
    </r>
    <r>
      <rPr>
        <vertAlign val="superscript"/>
        <sz val="10"/>
        <rFont val="Calibri"/>
        <family val="2"/>
      </rPr>
      <t>M</t>
    </r>
    <phoneticPr fontId="11" type="noConversion"/>
  </si>
  <si>
    <t>鄰近斷層</t>
    <phoneticPr fontId="11" type="noConversion"/>
  </si>
  <si>
    <r>
      <rPr>
        <sz val="10"/>
        <color theme="1"/>
        <rFont val="微軟正黑體"/>
        <family val="2"/>
        <charset val="136"/>
      </rPr>
      <t>建物種類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</si>
  <si>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韌性容量</t>
    </r>
    <r>
      <rPr>
        <sz val="10"/>
        <color theme="1"/>
        <rFont val="Calibri"/>
        <family val="2"/>
      </rPr>
      <t>:</t>
    </r>
    <phoneticPr fontId="11" type="noConversion"/>
  </si>
  <si>
    <t xml:space="preserve">           R  =</t>
    <phoneticPr fontId="11" type="noConversion"/>
  </si>
  <si>
    <r>
      <t xml:space="preserve">           R</t>
    </r>
    <r>
      <rPr>
        <i/>
        <vertAlign val="subscript"/>
        <sz val="10"/>
        <color theme="1"/>
        <rFont val="Calibri"/>
        <family val="2"/>
      </rPr>
      <t>a</t>
    </r>
    <r>
      <rPr>
        <i/>
        <sz val="10"/>
        <color theme="1"/>
        <rFont val="Calibri"/>
        <family val="2"/>
      </rPr>
      <t>=</t>
    </r>
    <phoneticPr fontId="11" type="noConversion"/>
  </si>
  <si>
    <r>
      <rPr>
        <sz val="10"/>
        <color theme="1"/>
        <rFont val="微軟正黑體"/>
        <family val="2"/>
        <charset val="136"/>
      </rPr>
      <t>建物高度</t>
    </r>
    <r>
      <rPr>
        <sz val="10"/>
        <color theme="1"/>
        <rFont val="Calibri"/>
        <family val="2"/>
      </rPr>
      <t>:</t>
    </r>
    <phoneticPr fontId="11" type="noConversion"/>
  </si>
  <si>
    <t>m</t>
    <phoneticPr fontId="11" type="noConversion"/>
  </si>
  <si>
    <r>
      <rPr>
        <sz val="10"/>
        <color theme="1"/>
        <rFont val="微軟正黑體"/>
        <family val="2"/>
        <charset val="136"/>
      </rPr>
      <t>用途係數</t>
    </r>
    <r>
      <rPr>
        <sz val="10"/>
        <color theme="1"/>
        <rFont val="Calibri"/>
        <family val="2"/>
      </rPr>
      <t>:</t>
    </r>
    <phoneticPr fontId="11" type="noConversion"/>
  </si>
  <si>
    <r>
      <t>α</t>
    </r>
    <r>
      <rPr>
        <vertAlign val="subscript"/>
        <sz val="10"/>
        <color theme="1"/>
        <rFont val="Calibri"/>
        <family val="2"/>
      </rPr>
      <t>y</t>
    </r>
    <phoneticPr fontId="11" type="noConversion"/>
  </si>
  <si>
    <r>
      <rPr>
        <sz val="10"/>
        <color theme="1"/>
        <rFont val="微軟正黑體"/>
        <family val="2"/>
        <charset val="136"/>
      </rPr>
      <t>近斷層效應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</si>
  <si>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距工址距離</t>
    </r>
    <r>
      <rPr>
        <sz val="10"/>
        <color theme="1"/>
        <rFont val="Calibri"/>
        <family val="2"/>
      </rPr>
      <t>: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</si>
  <si>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設計地震調整因子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</si>
  <si>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A</t>
    </r>
    <r>
      <rPr>
        <sz val="10"/>
        <color theme="1"/>
        <rFont val="Calibri"/>
        <family val="2"/>
      </rPr>
      <t>=</t>
    </r>
    <phoneticPr fontId="11" type="noConversion"/>
  </si>
  <si>
    <r>
      <t>N</t>
    </r>
    <r>
      <rPr>
        <vertAlign val="subscript"/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>=</t>
    </r>
    <phoneticPr fontId="11" type="noConversion"/>
  </si>
  <si>
    <r>
      <t xml:space="preserve">        </t>
    </r>
    <r>
      <rPr>
        <sz val="10"/>
        <color theme="1"/>
        <rFont val="微軟正黑體"/>
        <family val="2"/>
        <charset val="136"/>
      </rPr>
      <t>最大考量地震調整因子</t>
    </r>
    <phoneticPr fontId="11" type="noConversion"/>
  </si>
  <si>
    <r>
      <rPr>
        <sz val="10"/>
        <color theme="1"/>
        <rFont val="微軟正黑體"/>
        <family val="2"/>
        <charset val="136"/>
      </rPr>
      <t>地盤種類</t>
    </r>
    <r>
      <rPr>
        <sz val="10"/>
        <color theme="1"/>
        <rFont val="Calibri"/>
        <family val="2"/>
      </rPr>
      <t>:</t>
    </r>
    <phoneticPr fontId="11" type="noConversion"/>
  </si>
  <si>
    <r>
      <rPr>
        <sz val="10"/>
        <color theme="1"/>
        <rFont val="微軟正黑體"/>
        <family val="2"/>
        <charset val="136"/>
      </rPr>
      <t>地盤分類</t>
    </r>
  </si>
  <si>
    <r>
      <rPr>
        <sz val="10"/>
        <color theme="1"/>
        <rFont val="微軟正黑體"/>
        <family val="2"/>
        <charset val="136"/>
      </rPr>
      <t>震區短週期水平譜加速度係數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 xml:space="preserve"> </t>
    </r>
    <phoneticPr fontId="11" type="noConversion"/>
  </si>
  <si>
    <r>
      <rPr>
        <sz val="10"/>
        <color theme="1"/>
        <rFont val="微軟正黑體"/>
        <family val="2"/>
        <charset val="136"/>
      </rPr>
      <t>震區一秒週期水平譜加速度係數</t>
    </r>
    <r>
      <rPr>
        <sz val="10"/>
        <color theme="1"/>
        <rFont val="Calibri"/>
        <family val="2"/>
      </rPr>
      <t>S</t>
    </r>
    <r>
      <rPr>
        <vertAlign val="subscript"/>
        <sz val="10"/>
        <color theme="1"/>
        <rFont val="Calibri"/>
        <family val="2"/>
      </rPr>
      <t>1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</si>
  <si>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&gt;=</t>
    </r>
    <phoneticPr fontId="11" type="noConversion"/>
  </si>
  <si>
    <t>最小設計水平總橫力</t>
  </si>
  <si>
    <t>避免中小度地震降伏之設計地震力</t>
  </si>
  <si>
    <t>避免最大考量地震崩塌之設計地震力</t>
  </si>
  <si>
    <r>
      <t>(S</t>
    </r>
    <r>
      <rPr>
        <vertAlign val="subscript"/>
        <sz val="12"/>
        <color theme="1"/>
        <rFont val="微軟正黑體"/>
        <family val="2"/>
        <charset val="136"/>
      </rPr>
      <t>aD/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</si>
  <si>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(S</t>
    </r>
    <r>
      <rPr>
        <vertAlign val="subscript"/>
        <sz val="12"/>
        <color theme="1"/>
        <rFont val="微軟正黑體"/>
        <family val="2"/>
        <charset val="136"/>
      </rPr>
      <t>aM/</t>
    </r>
    <r>
      <rPr>
        <sz val="12"/>
        <color theme="1"/>
        <rFont val="微軟正黑體"/>
        <family val="2"/>
        <charset val="136"/>
      </rPr>
      <t>F</t>
    </r>
    <r>
      <rPr>
        <vertAlign val="subscript"/>
        <sz val="12"/>
        <color theme="1"/>
        <rFont val="微軟正黑體"/>
        <family val="2"/>
        <charset val="136"/>
      </rPr>
      <t>uM</t>
    </r>
    <r>
      <rPr>
        <sz val="12"/>
        <color theme="1"/>
        <rFont val="微軟正黑體"/>
        <family val="2"/>
        <charset val="136"/>
      </rPr>
      <t>)</t>
    </r>
    <r>
      <rPr>
        <vertAlign val="subscript"/>
        <sz val="12"/>
        <color theme="1"/>
        <rFont val="微軟正黑體"/>
        <family val="2"/>
        <charset val="136"/>
      </rPr>
      <t>m</t>
    </r>
    <r>
      <rPr>
        <sz val="12"/>
        <color theme="1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</si>
  <si>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</si>
  <si>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1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</si>
  <si>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&lt;=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</si>
  <si>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=</t>
    </r>
    <phoneticPr fontId="11" type="noConversion"/>
  </si>
  <si>
    <r>
      <t>S</t>
    </r>
    <r>
      <rPr>
        <vertAlign val="subscript"/>
        <sz val="10"/>
        <color theme="1"/>
        <rFont val="Calibri"/>
        <family val="2"/>
      </rPr>
      <t xml:space="preserve">S </t>
    </r>
    <r>
      <rPr>
        <sz val="10"/>
        <color theme="1"/>
        <rFont val="Calibri"/>
        <family val="2"/>
      </rPr>
      <t>&gt;=</t>
    </r>
    <phoneticPr fontId="11" type="noConversion"/>
  </si>
  <si>
    <t>RF</t>
    <phoneticPr fontId="11" type="noConversion"/>
  </si>
  <si>
    <t>item</t>
    <phoneticPr fontId="11" type="noConversion"/>
  </si>
  <si>
    <t>metal deck</t>
    <phoneticPr fontId="11" type="noConversion"/>
  </si>
  <si>
    <t>weight (kgf)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</si>
  <si>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</si>
  <si>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</si>
  <si>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roof water tank</t>
    <phoneticPr fontId="11" type="noConversion"/>
  </si>
  <si>
    <t>weight of steel frame</t>
    <phoneticPr fontId="11" type="noConversion"/>
  </si>
  <si>
    <t>exterior walls</t>
    <phoneticPr fontId="11" type="noConversion"/>
  </si>
  <si>
    <t>perimeter length (m)</t>
    <phoneticPr fontId="11" type="noConversion"/>
  </si>
  <si>
    <t>height (m)</t>
    <phoneticPr fontId="11" type="noConversion"/>
  </si>
  <si>
    <t xml:space="preserve">parapet 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</si>
  <si>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</si>
  <si>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</si>
  <si>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4F</t>
    <phoneticPr fontId="11" type="noConversion"/>
  </si>
  <si>
    <t>第一類建築物</t>
    <phoneticPr fontId="11" type="noConversion"/>
  </si>
  <si>
    <t>第二類建築物</t>
    <phoneticPr fontId="11" type="noConversion"/>
  </si>
  <si>
    <t>第三類建築物</t>
  </si>
  <si>
    <t>第三類建築物</t>
    <phoneticPr fontId="11" type="noConversion"/>
  </si>
  <si>
    <t>第四類建築物</t>
    <phoneticPr fontId="11" type="noConversion"/>
  </si>
  <si>
    <t>3F</t>
    <phoneticPr fontId="11" type="noConversion"/>
  </si>
  <si>
    <t>perimeter length (m)</t>
    <phoneticPr fontId="11" type="noConversion"/>
  </si>
  <si>
    <t>item</t>
    <phoneticPr fontId="11" type="noConversion"/>
  </si>
  <si>
    <r>
      <t>weight/area (kgf/m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</si>
  <si>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r>
      <t>area (m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</rPr>
      <t>)</t>
    </r>
    <phoneticPr fontId="11" type="noConversion"/>
  </si>
  <si>
    <t>weight (kgf)</t>
    <phoneticPr fontId="11" type="noConversion"/>
  </si>
  <si>
    <t>metal deck</t>
    <phoneticPr fontId="11" type="noConversion"/>
  </si>
  <si>
    <t>ceiling, air-condition piping and floor finishing</t>
    <phoneticPr fontId="11" type="noConversion"/>
  </si>
  <si>
    <t>partition walls</t>
    <phoneticPr fontId="11" type="noConversion"/>
  </si>
  <si>
    <t>weight of steel frame</t>
    <phoneticPr fontId="11" type="noConversion"/>
  </si>
  <si>
    <t>height (m)</t>
    <phoneticPr fontId="11" type="noConversion"/>
  </si>
  <si>
    <t>exterior walls</t>
    <phoneticPr fontId="11" type="noConversion"/>
  </si>
  <si>
    <t>2F</t>
    <phoneticPr fontId="11" type="noConversion"/>
  </si>
  <si>
    <t>基底剪力:</t>
    <phoneticPr fontId="11" type="noConversion"/>
  </si>
  <si>
    <t>Story</t>
    <phoneticPr fontId="11" type="noConversion"/>
  </si>
  <si>
    <t>shtory height (m)</t>
    <phoneticPr fontId="11" type="noConversion"/>
  </si>
  <si>
    <t>lateral force, long direction (T)</t>
    <phoneticPr fontId="11" type="noConversion"/>
  </si>
  <si>
    <t>Story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</si>
  <si>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</si>
  <si>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</si>
  <si>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</si>
  <si>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RF</t>
    <phoneticPr fontId="11" type="noConversion"/>
  </si>
  <si>
    <t>4F</t>
    <phoneticPr fontId="11" type="noConversion"/>
  </si>
  <si>
    <t>3F</t>
    <phoneticPr fontId="11" type="noConversion"/>
  </si>
  <si>
    <t>Ft</t>
    <phoneticPr fontId="11" type="noConversion"/>
  </si>
  <si>
    <t>鋼構造建築物</t>
  </si>
  <si>
    <t>RF weight (Tf)</t>
    <phoneticPr fontId="11" type="noConversion"/>
  </si>
  <si>
    <t>4F weight (Tf)</t>
    <phoneticPr fontId="11" type="noConversion"/>
  </si>
  <si>
    <t>3F weight (Tf)</t>
    <phoneticPr fontId="11" type="noConversion"/>
  </si>
  <si>
    <t>2F weight (Tf)</t>
    <phoneticPr fontId="11" type="noConversion"/>
  </si>
  <si>
    <t>total building weight (Tf)</t>
    <phoneticPr fontId="11" type="noConversion"/>
  </si>
  <si>
    <t>base shear, short direction (Tf)</t>
    <phoneticPr fontId="11" type="noConversion"/>
  </si>
  <si>
    <t>base shear, long direction (Tf)</t>
    <phoneticPr fontId="11" type="noConversion"/>
  </si>
  <si>
    <t>story weight (Tf)</t>
    <phoneticPr fontId="11" type="noConversion"/>
  </si>
  <si>
    <t>story weight (Tf)</t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</si>
  <si>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</si>
  <si>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</si>
  <si>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(m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</si>
  <si>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x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</si>
  <si>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)</t>
    </r>
    <phoneticPr fontId="11" type="noConversion"/>
  </si>
  <si>
    <r>
      <t>Mass (R</t>
    </r>
    <r>
      <rPr>
        <vertAlign val="subscript"/>
        <sz val="12"/>
        <color theme="1"/>
        <rFont val="Calibri"/>
        <family val="2"/>
      </rPr>
      <t>z</t>
    </r>
    <r>
      <rPr>
        <sz val="12"/>
        <color theme="1"/>
        <rFont val="Calibri"/>
        <family val="2"/>
      </rPr>
      <t>)</t>
    </r>
    <phoneticPr fontId="11" type="noConversion"/>
  </si>
  <si>
    <t>unit: kN, mm</t>
    <phoneticPr fontId="11" type="noConversion"/>
  </si>
  <si>
    <t>story weight (kN)</t>
    <phoneticPr fontId="11" type="noConversion"/>
  </si>
  <si>
    <t>story length</t>
    <phoneticPr fontId="11" type="noConversion"/>
  </si>
  <si>
    <t>story width</t>
    <phoneticPr fontId="11" type="noConversion"/>
  </si>
  <si>
    <t>story thickness</t>
    <phoneticPr fontId="11" type="noConversion"/>
  </si>
  <si>
    <t>mm</t>
    <phoneticPr fontId="11" type="noConversion"/>
  </si>
  <si>
    <r>
      <t>story weight (Tf/m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</si>
  <si>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長向種類</t>
    <phoneticPr fontId="11" type="noConversion"/>
  </si>
  <si>
    <t>短向種類</t>
    <phoneticPr fontId="11" type="noConversion"/>
  </si>
  <si>
    <t>鋼筋混泥土建築物、鋼骨鋼筋混凝土建築物及鋼造偏心斜撐建築物</t>
  </si>
  <si>
    <r>
      <t>α</t>
    </r>
    <r>
      <rPr>
        <vertAlign val="subscript"/>
        <sz val="12"/>
        <rFont val="微軟正黑體"/>
        <family val="2"/>
        <charset val="136"/>
      </rPr>
      <t>y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</si>
  <si>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</si>
  <si>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</si>
  <si>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</si>
  <si>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</si>
  <si>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</si>
  <si>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</si>
  <si>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MS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S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A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</si>
  <si>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</si>
  <si>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</si>
  <si>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D1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D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</si>
  <si>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phoneticPr fontId="11" type="noConversion"/>
  </si>
  <si>
    <r>
      <t>S</t>
    </r>
    <r>
      <rPr>
        <vertAlign val="subscript"/>
        <sz val="12"/>
        <rFont val="微軟正黑體"/>
        <family val="2"/>
        <charset val="136"/>
      </rPr>
      <t>M1</t>
    </r>
    <r>
      <rPr>
        <sz val="12"/>
        <rFont val="微軟正黑體"/>
        <family val="2"/>
        <charset val="136"/>
      </rPr>
      <t>=S</t>
    </r>
    <r>
      <rPr>
        <vertAlign val="subscript"/>
        <sz val="12"/>
        <rFont val="微軟正黑體"/>
        <family val="2"/>
        <charset val="136"/>
      </rPr>
      <t>1</t>
    </r>
    <r>
      <rPr>
        <vertAlign val="superscript"/>
        <sz val="12"/>
        <rFont val="微軟正黑體"/>
        <family val="2"/>
        <charset val="136"/>
      </rPr>
      <t>M</t>
    </r>
    <r>
      <rPr>
        <sz val="12"/>
        <rFont val="微軟正黑體"/>
        <family val="2"/>
        <charset val="136"/>
      </rPr>
      <t>N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F</t>
    </r>
    <r>
      <rPr>
        <vertAlign val="subscript"/>
        <sz val="12"/>
        <rFont val="微軟正黑體"/>
        <family val="2"/>
        <charset val="136"/>
      </rPr>
      <t>V</t>
    </r>
    <r>
      <rPr>
        <sz val="12"/>
        <rFont val="微軟正黑體"/>
        <family val="2"/>
        <charset val="136"/>
      </rPr>
      <t>=</t>
    </r>
    <phoneticPr fontId="11" type="noConversion"/>
  </si>
  <si>
    <t>sec</t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</si>
  <si>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D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</si>
  <si>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>0</t>
    </r>
    <r>
      <rPr>
        <vertAlign val="super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</si>
  <si>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r>
      <t>C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</si>
  <si>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S</t>
    </r>
    <r>
      <rPr>
        <vertAlign val="subscript"/>
        <sz val="12"/>
        <rFont val="Calibri"/>
        <family val="2"/>
      </rPr>
      <t>aD</t>
    </r>
    <phoneticPr fontId="11" type="noConversion"/>
  </si>
  <si>
    <r>
      <t>S</t>
    </r>
    <r>
      <rPr>
        <vertAlign val="subscript"/>
        <sz val="12"/>
        <rFont val="Calibri"/>
        <family val="2"/>
      </rPr>
      <t>aM</t>
    </r>
    <phoneticPr fontId="11" type="noConversion"/>
  </si>
  <si>
    <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</si>
  <si>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aD/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</si>
  <si>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=</t>
    </r>
    <phoneticPr fontId="11" type="noConversion"/>
  </si>
  <si>
    <r>
      <t>(S</t>
    </r>
    <r>
      <rPr>
        <vertAlign val="subscript"/>
        <sz val="12"/>
        <rFont val="Calibri"/>
        <family val="2"/>
      </rPr>
      <t>aM/</t>
    </r>
    <r>
      <rPr>
        <sz val="12"/>
        <rFont val="Calibri"/>
        <family val="2"/>
      </rPr>
      <t>F</t>
    </r>
    <r>
      <rPr>
        <vertAlign val="subscript"/>
        <sz val="12"/>
        <rFont val="Calibri"/>
        <family val="2"/>
      </rPr>
      <t>uM</t>
    </r>
    <r>
      <rPr>
        <sz val="12"/>
        <rFont val="Calibri"/>
        <family val="2"/>
      </rPr>
      <t>)</t>
    </r>
    <r>
      <rPr>
        <vertAlign val="subscript"/>
        <sz val="12"/>
        <rFont val="Calibri"/>
        <family val="2"/>
      </rPr>
      <t>m</t>
    </r>
    <phoneticPr fontId="11" type="noConversion"/>
  </si>
  <si>
    <r>
      <t>V</t>
    </r>
    <r>
      <rPr>
        <vertAlign val="subscript"/>
        <sz val="12"/>
        <rFont val="Calibri"/>
        <family val="2"/>
      </rPr>
      <t>M</t>
    </r>
    <r>
      <rPr>
        <sz val="12"/>
        <rFont val="Calibri"/>
        <family val="2"/>
      </rPr>
      <t>=</t>
    </r>
    <phoneticPr fontId="11" type="noConversion"/>
  </si>
  <si>
    <t>長向韌性容量</t>
    <phoneticPr fontId="11" type="noConversion"/>
  </si>
  <si>
    <t>短向韌性容量</t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</si>
  <si>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EXPRENCE </t>
    </r>
    <r>
      <rPr>
        <sz val="12"/>
        <rFont val="Calibri"/>
        <family val="2"/>
      </rPr>
      <t>=</t>
    </r>
    <phoneticPr fontId="11" type="noConversion"/>
  </si>
  <si>
    <r>
      <t>T</t>
    </r>
    <r>
      <rPr>
        <vertAlign val="subscript"/>
        <sz val="12"/>
        <rFont val="Calibri"/>
        <family val="2"/>
      </rPr>
      <t xml:space="preserve">ETABS </t>
    </r>
    <r>
      <rPr>
        <sz val="12"/>
        <rFont val="Calibri"/>
        <family val="2"/>
      </rPr>
      <t>=</t>
    </r>
    <phoneticPr fontId="11" type="noConversion"/>
  </si>
  <si>
    <t>長向 x-direction</t>
    <phoneticPr fontId="11" type="noConversion"/>
  </si>
  <si>
    <t>短向 y-direction</t>
    <phoneticPr fontId="11" type="noConversion"/>
  </si>
  <si>
    <r>
      <t>V</t>
    </r>
    <r>
      <rPr>
        <vertAlign val="subscript"/>
        <sz val="12"/>
        <rFont val="微軟正黑體"/>
        <family val="2"/>
        <charset val="136"/>
      </rPr>
      <t>design</t>
    </r>
    <r>
      <rPr>
        <sz val="12"/>
        <rFont val="微軟正黑體"/>
        <family val="2"/>
        <charset val="136"/>
      </rPr>
      <t xml:space="preserve"> =</t>
    </r>
    <phoneticPr fontId="11" type="noConversion"/>
  </si>
  <si>
    <t>story height (mm)</t>
    <phoneticPr fontId="11" type="noConversion"/>
  </si>
  <si>
    <t>inter story drift limit</t>
    <phoneticPr fontId="11" type="noConversion"/>
  </si>
  <si>
    <t>inter story drift limit (mm)</t>
    <phoneticPr fontId="11" type="noConversion"/>
  </si>
  <si>
    <t>BRB section list</t>
    <phoneticPr fontId="11" type="noConversion"/>
  </si>
  <si>
    <t>depth (mm)</t>
    <phoneticPr fontId="11" type="noConversion"/>
  </si>
  <si>
    <t>width (mm)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</si>
  <si>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</si>
  <si>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force, short direction (Tf)</t>
    <phoneticPr fontId="11" type="noConversion"/>
  </si>
  <si>
    <t>lateral force of BRB</t>
    <phoneticPr fontId="11" type="noConversion"/>
  </si>
  <si>
    <t>cumulative lateral force (Tf)</t>
    <phoneticPr fontId="11" type="noConversion"/>
  </si>
  <si>
    <t>lateral force (Tf)</t>
    <phoneticPr fontId="11" type="noConversion"/>
  </si>
  <si>
    <r>
      <t>Fy (A572 GR50, T/cm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</si>
  <si>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angle between brace and beam (rad)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</si>
  <si>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</si>
  <si>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</si>
  <si>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4x10=40</t>
    <phoneticPr fontId="11" type="noConversion"/>
  </si>
  <si>
    <t>4x15=60</t>
    <phoneticPr fontId="11" type="noConversion"/>
  </si>
  <si>
    <t>compression limit (Tf)</t>
    <phoneticPr fontId="11" type="noConversion"/>
  </si>
  <si>
    <t>E</t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</si>
  <si>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design (mm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</si>
  <si>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(mm)</t>
    <phoneticPr fontId="11" type="noConversion"/>
  </si>
  <si>
    <r>
      <t>axial stiffness (kN/mm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</si>
  <si>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lateral force of EBF (Tf)</t>
    <phoneticPr fontId="11" type="noConversion"/>
  </si>
  <si>
    <t>axial force of brace (Tf)</t>
    <phoneticPr fontId="11" type="noConversion"/>
  </si>
  <si>
    <t>depth</t>
  </si>
  <si>
    <t>mm</t>
  </si>
  <si>
    <t>width</t>
  </si>
  <si>
    <t>web</t>
  </si>
  <si>
    <t>flange</t>
  </si>
  <si>
    <t>Fy</t>
  </si>
  <si>
    <t>Section</t>
  </si>
  <si>
    <t>Tag</t>
  </si>
  <si>
    <t>column</t>
  </si>
  <si>
    <t>Area</t>
  </si>
  <si>
    <r>
      <t>mm</t>
    </r>
    <r>
      <rPr>
        <vertAlign val="superscript"/>
        <sz val="12"/>
        <color theme="1"/>
        <rFont val="Calibri"/>
        <family val="2"/>
      </rPr>
      <t>2</t>
    </r>
  </si>
  <si>
    <t>Iz</t>
  </si>
  <si>
    <r>
      <t>mm</t>
    </r>
    <r>
      <rPr>
        <vertAlign val="superscript"/>
        <sz val="12"/>
        <color theme="1"/>
        <rFont val="Calibri"/>
        <family val="2"/>
      </rPr>
      <t>4</t>
    </r>
  </si>
  <si>
    <t>Iy</t>
  </si>
  <si>
    <t>J</t>
  </si>
  <si>
    <t>Sz</t>
  </si>
  <si>
    <r>
      <t>mm</t>
    </r>
    <r>
      <rPr>
        <vertAlign val="superscript"/>
        <sz val="12"/>
        <color theme="1"/>
        <rFont val="Calibri"/>
        <family val="2"/>
      </rPr>
      <t>3</t>
    </r>
  </si>
  <si>
    <t>Sy</t>
  </si>
  <si>
    <t>Zz</t>
  </si>
  <si>
    <t>Zy</t>
  </si>
  <si>
    <t>T/cm2</t>
    <phoneticPr fontId="11" type="noConversion"/>
  </si>
  <si>
    <t>Mp</t>
    <phoneticPr fontId="11" type="noConversion"/>
  </si>
  <si>
    <t>Vp</t>
    <phoneticPr fontId="11" type="noConversion"/>
  </si>
  <si>
    <t>Tf-cm</t>
    <phoneticPr fontId="11" type="noConversion"/>
  </si>
  <si>
    <t>Tf</t>
    <phoneticPr fontId="11" type="noConversion"/>
  </si>
  <si>
    <t>shear force in link (Tf)</t>
    <phoneticPr fontId="11" type="noConversion"/>
  </si>
  <si>
    <t>phi*Vp (Tf)</t>
    <phoneticPr fontId="11" type="noConversion"/>
  </si>
  <si>
    <t>link length (cm)</t>
    <phoneticPr fontId="11" type="noConversion"/>
  </si>
  <si>
    <t>shear/flexural link</t>
    <phoneticPr fontId="11" type="noConversion"/>
  </si>
  <si>
    <t>selected section</t>
    <phoneticPr fontId="11" type="noConversion"/>
  </si>
  <si>
    <t>x</t>
    <phoneticPr fontId="11" type="noConversion"/>
  </si>
  <si>
    <t>determine the link section</t>
    <phoneticPr fontId="11" type="noConversion"/>
  </si>
  <si>
    <t>determine the brace</t>
    <phoneticPr fontId="11" type="noConversion"/>
  </si>
  <si>
    <t>story</t>
    <phoneticPr fontId="11" type="noConversion"/>
  </si>
  <si>
    <t>RF</t>
  </si>
  <si>
    <t>4F</t>
  </si>
  <si>
    <t>4F</t>
    <phoneticPr fontId="11" type="noConversion"/>
  </si>
  <si>
    <t>3F</t>
  </si>
  <si>
    <t>3F</t>
    <phoneticPr fontId="11" type="noConversion"/>
  </si>
  <si>
    <t>2F</t>
  </si>
  <si>
    <r>
      <t>V</t>
    </r>
    <r>
      <rPr>
        <vertAlign val="subscript"/>
        <sz val="12"/>
        <color theme="1"/>
        <rFont val="Calibri"/>
        <family val="2"/>
      </rPr>
      <t>ult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</si>
  <si>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a</t>
    </r>
    <r>
      <rPr>
        <sz val="12"/>
        <color theme="1"/>
        <rFont val="Calibri"/>
        <family val="2"/>
      </rPr>
      <t>=M</t>
    </r>
    <r>
      <rPr>
        <vertAlign val="subscript"/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 xml:space="preserve"> (Tf-cm)</t>
    </r>
    <phoneticPr fontId="11" type="noConversion"/>
  </si>
  <si>
    <t>angle between brace and beam (rad)</t>
    <phoneticPr fontId="11" type="noConversion"/>
  </si>
  <si>
    <t>H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</si>
  <si>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</si>
  <si>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brace</t>
    </r>
    <r>
      <rPr>
        <sz val="12"/>
        <color theme="1"/>
        <rFont val="Calibri"/>
        <family val="2"/>
      </rPr>
      <t xml:space="preserve"> (Tf-cm)</t>
    </r>
    <phoneticPr fontId="11" type="noConversion"/>
  </si>
  <si>
    <t>DCR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</si>
  <si>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n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</si>
  <si>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 xml:space="preserve">n </t>
    </r>
    <r>
      <rPr>
        <sz val="12"/>
        <color theme="1"/>
        <rFont val="Calibri"/>
        <family val="2"/>
      </rPr>
      <t>(Tf-cm)</t>
    </r>
    <phoneticPr fontId="11" type="noConversion"/>
  </si>
  <si>
    <t>λ</t>
  </si>
  <si>
    <t>b/t (flange)</t>
    <phoneticPr fontId="11" type="noConversion"/>
  </si>
  <si>
    <t>λr (flange)</t>
    <phoneticPr fontId="11" type="noConversion"/>
  </si>
  <si>
    <t>λp (flange)</t>
    <phoneticPr fontId="11" type="noConversion"/>
  </si>
  <si>
    <t>b/t (web)</t>
    <phoneticPr fontId="11" type="noConversion"/>
  </si>
  <si>
    <t>λr (web)</t>
    <phoneticPr fontId="11" type="noConversion"/>
  </si>
  <si>
    <t>λp (web)</t>
    <phoneticPr fontId="11" type="noConversion"/>
  </si>
  <si>
    <t>check the DCR of beam outside link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</si>
  <si>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</si>
  <si>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M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beam</t>
    </r>
    <r>
      <rPr>
        <sz val="12"/>
        <color theme="1"/>
        <rFont val="Calibri"/>
        <family val="2"/>
      </rPr>
      <t xml:space="preserve"> (Tf-cm)</t>
    </r>
    <phoneticPr fontId="11" type="noConversion"/>
  </si>
  <si>
    <t>check the DCR of brace</t>
    <phoneticPr fontId="11" type="noConversion"/>
  </si>
  <si>
    <t>determine the column</t>
    <phoneticPr fontId="11" type="noConversion"/>
  </si>
  <si>
    <r>
      <t>P</t>
    </r>
    <r>
      <rPr>
        <vertAlign val="subscript"/>
        <sz val="12"/>
        <color theme="1"/>
        <rFont val="Calibri"/>
        <family val="2"/>
      </rPr>
      <t>ult</t>
    </r>
    <r>
      <rPr>
        <vertAlign val="superscript"/>
        <sz val="12"/>
        <color theme="1"/>
        <rFont val="Calibri"/>
        <family val="2"/>
      </rPr>
      <t>column</t>
    </r>
    <r>
      <rPr>
        <sz val="12"/>
        <color theme="1"/>
        <rFont val="Calibri"/>
        <family val="2"/>
      </rPr>
      <t xml:space="preserve"> (Tf)</t>
    </r>
    <phoneticPr fontId="11" type="noConversion"/>
  </si>
  <si>
    <t>check the DCR of col</t>
    <phoneticPr fontId="11" type="noConversion"/>
  </si>
  <si>
    <t>lateral force of BRBF (Tf)</t>
    <phoneticPr fontId="11" type="noConversion"/>
  </si>
  <si>
    <t xml:space="preserve">Story </t>
    <phoneticPr fontId="11" type="noConversion"/>
  </si>
  <si>
    <t>selected section</t>
    <phoneticPr fontId="11" type="noConversion"/>
  </si>
  <si>
    <t>x</t>
    <phoneticPr fontId="11" type="noConversion"/>
  </si>
  <si>
    <t>Fy</t>
    <phoneticPr fontId="11" type="noConversion"/>
  </si>
  <si>
    <t>selected section (mm)</t>
    <phoneticPr fontId="11" type="noConversion"/>
  </si>
  <si>
    <r>
      <t>0.9F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</si>
  <si>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A</t>
    </r>
    <r>
      <rPr>
        <vertAlign val="subscript"/>
        <sz val="12"/>
        <color theme="1"/>
        <rFont val="Calibri"/>
        <family val="2"/>
      </rPr>
      <t>c</t>
    </r>
    <r>
      <rPr>
        <sz val="12"/>
        <color theme="1"/>
        <rFont val="Calibri"/>
        <family val="2"/>
      </rPr>
      <t xml:space="preserve"> (cm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</si>
  <si>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r>
      <t>F</t>
    </r>
    <r>
      <rPr>
        <vertAlign val="subscript"/>
        <sz val="12"/>
        <color theme="1"/>
        <rFont val="Calibri"/>
        <family val="2"/>
      </rPr>
      <t>y</t>
    </r>
    <r>
      <rPr>
        <sz val="12"/>
        <color theme="1"/>
        <rFont val="Calibri"/>
        <family val="2"/>
      </rPr>
      <t xml:space="preserve"> (Tf/cm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)</t>
    </r>
    <phoneticPr fontId="11" type="noConversion"/>
  </si>
  <si>
    <t>brace length (cm)</t>
    <phoneticPr fontId="11" type="noConversion"/>
  </si>
  <si>
    <t>E</t>
    <phoneticPr fontId="11" type="noConversion"/>
  </si>
  <si>
    <t>Gpa</t>
    <phoneticPr fontId="11" type="noConversion"/>
  </si>
  <si>
    <t>T/cm2</t>
    <phoneticPr fontId="11" type="noConversion"/>
  </si>
  <si>
    <t>strain hardening</t>
    <phoneticPr fontId="11" type="noConversion"/>
  </si>
  <si>
    <t>material overstrength</t>
    <phoneticPr fontId="11" type="noConversion"/>
  </si>
  <si>
    <t>beta</t>
    <phoneticPr fontId="11" type="noConversion"/>
  </si>
  <si>
    <r>
      <t>T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</si>
  <si>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(Tf/cm)</t>
    </r>
    <phoneticPr fontId="11" type="noConversion"/>
  </si>
  <si>
    <r>
      <t>C</t>
    </r>
    <r>
      <rPr>
        <vertAlign val="subscript"/>
        <sz val="12"/>
        <color theme="1"/>
        <rFont val="Calibri"/>
        <family val="2"/>
      </rPr>
      <t>max</t>
    </r>
    <r>
      <rPr>
        <sz val="12"/>
        <color theme="1"/>
        <rFont val="Calibri"/>
        <family val="2"/>
      </rPr>
      <t xml:space="preserve"> (Tf)</t>
    </r>
    <phoneticPr fontId="11" type="noConversion"/>
  </si>
  <si>
    <t>determine the beam section</t>
    <phoneticPr fontId="11" type="noConversion"/>
  </si>
  <si>
    <t>maximum axial force in beam (Tf)</t>
    <phoneticPr fontId="11" type="noConversion"/>
  </si>
  <si>
    <t>maximum moment in beam (Tf-cm)</t>
    <phoneticPr fontId="11" type="noConversion"/>
  </si>
  <si>
    <t>check the DCR of beam</t>
    <phoneticPr fontId="11" type="noConversion"/>
  </si>
  <si>
    <t>check the DCR of column</t>
    <phoneticPr fontId="11" type="noConversion"/>
  </si>
  <si>
    <t>determine the column section</t>
    <phoneticPr fontId="11" type="noConversion"/>
  </si>
  <si>
    <t>maximum axia force in column (Tf)</t>
    <phoneticPr fontId="11" type="noConversion"/>
  </si>
  <si>
    <r>
      <t>K</t>
    </r>
    <r>
      <rPr>
        <vertAlign val="subscript"/>
        <sz val="12"/>
        <color theme="1"/>
        <rFont val="Calibri"/>
        <family val="2"/>
      </rPr>
      <t>eff</t>
    </r>
    <r>
      <rPr>
        <sz val="12"/>
        <color theme="1"/>
        <rFont val="Calibri"/>
        <family val="2"/>
      </rPr>
      <t xml:space="preserve"> (kgf/cm)</t>
    </r>
    <phoneticPr fontId="11" type="noConversion"/>
  </si>
  <si>
    <t>strength</t>
    <phoneticPr fontId="11" type="noConversion"/>
  </si>
  <si>
    <t>Story</t>
  </si>
  <si>
    <t>Item</t>
  </si>
  <si>
    <t>Load</t>
  </si>
  <si>
    <t>Point</t>
  </si>
  <si>
    <t>DriftY</t>
  </si>
  <si>
    <t>Diaph RF X</t>
  </si>
  <si>
    <t>EXP</t>
  </si>
  <si>
    <t>Diaph 4F X</t>
  </si>
  <si>
    <t>Diaph 3F X</t>
  </si>
  <si>
    <t>Diaph 2F X</t>
  </si>
  <si>
    <t>long direction</t>
    <phoneticPr fontId="11" type="noConversion"/>
  </si>
  <si>
    <t>short direction</t>
    <phoneticPr fontId="11" type="noConversion"/>
  </si>
  <si>
    <t>Max Drift X</t>
  </si>
  <si>
    <t>Max Drift Y</t>
  </si>
  <si>
    <t>ElementType</t>
  </si>
  <si>
    <t>Material</t>
  </si>
  <si>
    <t>Column</t>
  </si>
  <si>
    <t>A572GR50</t>
  </si>
  <si>
    <t>Beam</t>
  </si>
  <si>
    <t>Brace</t>
  </si>
  <si>
    <t>SUM</t>
  </si>
  <si>
    <t>TOTAL</t>
  </si>
  <si>
    <t>All</t>
  </si>
  <si>
    <t>TotalWeight (Tf)</t>
    <phoneticPr fontId="11" type="noConversion"/>
  </si>
  <si>
    <t>5F</t>
    <phoneticPr fontId="11" type="noConversion"/>
  </si>
  <si>
    <t>4F</t>
    <phoneticPr fontId="11" type="noConversion"/>
  </si>
  <si>
    <t>3F</t>
    <phoneticPr fontId="11" type="noConversion"/>
  </si>
  <si>
    <t>2F</t>
    <phoneticPr fontId="11" type="noConversion"/>
  </si>
  <si>
    <t>1F</t>
    <phoneticPr fontId="11" type="noConversion"/>
  </si>
  <si>
    <t>1F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</si>
  <si>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</si>
  <si>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</si>
  <si>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</si>
  <si>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5F</t>
    <phoneticPr fontId="11" type="noConversion"/>
  </si>
  <si>
    <t>2F</t>
    <phoneticPr fontId="11" type="noConversion"/>
  </si>
  <si>
    <t>1F</t>
    <phoneticPr fontId="11" type="noConversion"/>
  </si>
  <si>
    <t>5F</t>
    <phoneticPr fontId="11" type="noConversion"/>
  </si>
  <si>
    <t xml:space="preserve">long period </t>
    <phoneticPr fontId="11" type="noConversion"/>
  </si>
  <si>
    <t>tran period</t>
    <phoneticPr fontId="11" type="noConversion"/>
  </si>
  <si>
    <t>2F</t>
    <phoneticPr fontId="11" type="noConversion"/>
  </si>
  <si>
    <t>1F and 2F link</t>
    <phoneticPr fontId="11" type="noConversion"/>
  </si>
  <si>
    <t>3F and 4F link</t>
    <phoneticPr fontId="11" type="noConversion"/>
  </si>
  <si>
    <t>5F</t>
    <phoneticPr fontId="11" type="noConversion"/>
  </si>
  <si>
    <t>5F and 6F link</t>
    <phoneticPr fontId="11" type="noConversion"/>
  </si>
  <si>
    <t>5F</t>
    <phoneticPr fontId="11" type="noConversion"/>
  </si>
  <si>
    <t>6F</t>
    <phoneticPr fontId="11" type="noConversion"/>
  </si>
  <si>
    <t>1F</t>
    <phoneticPr fontId="11" type="noConversion"/>
  </si>
  <si>
    <t>5F and RF column</t>
    <phoneticPr fontId="11" type="noConversion"/>
  </si>
  <si>
    <t>3F and 4F column</t>
    <phoneticPr fontId="11" type="noConversion"/>
  </si>
  <si>
    <t>3F and 4F brace</t>
    <phoneticPr fontId="11" type="noConversion"/>
  </si>
  <si>
    <t>5F and RF brace</t>
    <phoneticPr fontId="11" type="noConversion"/>
  </si>
  <si>
    <t>1F</t>
    <phoneticPr fontId="11" type="noConversion"/>
  </si>
  <si>
    <t>2F</t>
    <phoneticPr fontId="11" type="noConversion"/>
  </si>
  <si>
    <t>3F</t>
    <phoneticPr fontId="11" type="noConversion"/>
  </si>
  <si>
    <t>5F</t>
    <phoneticPr fontId="11" type="noConversion"/>
  </si>
  <si>
    <t>1F and 2F column</t>
    <phoneticPr fontId="11" type="noConversion"/>
  </si>
  <si>
    <t>1F and 2F brace</t>
    <phoneticPr fontId="11" type="noConversion"/>
  </si>
  <si>
    <t>3F</t>
    <phoneticPr fontId="11" type="noConversion"/>
  </si>
  <si>
    <t>4F</t>
    <phoneticPr fontId="11" type="noConversion"/>
  </si>
  <si>
    <t>1F</t>
    <phoneticPr fontId="11" type="noConversion"/>
  </si>
  <si>
    <t>3F and 4F column</t>
    <phoneticPr fontId="11" type="noConversion"/>
  </si>
  <si>
    <t>5F and RF column</t>
    <phoneticPr fontId="11" type="noConversion"/>
  </si>
  <si>
    <t>1F and 2F beam</t>
    <phoneticPr fontId="11" type="noConversion"/>
  </si>
  <si>
    <t>3F and 4F beam</t>
    <phoneticPr fontId="11" type="noConversion"/>
  </si>
  <si>
    <t>5F and RF beam</t>
    <phoneticPr fontId="11" type="noConversion"/>
  </si>
  <si>
    <t>X</t>
  </si>
  <si>
    <t>Y</t>
  </si>
  <si>
    <t>Z</t>
  </si>
  <si>
    <t>DriftX</t>
  </si>
  <si>
    <t>STORY6</t>
  </si>
  <si>
    <t>Diaph D6 X</t>
  </si>
  <si>
    <t>POXP</t>
  </si>
  <si>
    <t>Diaph D6 Y</t>
  </si>
  <si>
    <t>POXN</t>
  </si>
  <si>
    <t>POYN</t>
  </si>
  <si>
    <t>POYP</t>
  </si>
  <si>
    <t>COMB1</t>
  </si>
  <si>
    <t>COMB2</t>
  </si>
  <si>
    <t>COMB3</t>
  </si>
  <si>
    <t>COMB4</t>
  </si>
  <si>
    <t>STORY5</t>
  </si>
  <si>
    <t>Diaph D5 X</t>
  </si>
  <si>
    <t>Diaph D5 Y</t>
  </si>
  <si>
    <t>STORY4</t>
  </si>
  <si>
    <t>Diaph D4 X</t>
  </si>
  <si>
    <t>Diaph D4 Y</t>
  </si>
  <si>
    <t>STORY3</t>
  </si>
  <si>
    <t>Diaph D3 X</t>
  </si>
  <si>
    <t>Diaph D3 Y</t>
  </si>
  <si>
    <t>STORY2</t>
  </si>
  <si>
    <t>Diaph D2 X</t>
  </si>
  <si>
    <t>Diaph D2 Y</t>
  </si>
  <si>
    <t>STORY1</t>
  </si>
  <si>
    <t>Diaph D1 X</t>
  </si>
  <si>
    <t>Diaph D1 Y</t>
  </si>
  <si>
    <t>C2</t>
  </si>
  <si>
    <t>BOX900X900X45</t>
  </si>
  <si>
    <t>At Points/Lines/Edges</t>
  </si>
  <si>
    <t>C4</t>
  </si>
  <si>
    <t>C6</t>
  </si>
  <si>
    <t>H800X300</t>
  </si>
  <si>
    <t>C8</t>
  </si>
  <si>
    <t>C10</t>
  </si>
  <si>
    <t>C11</t>
  </si>
  <si>
    <t>C12</t>
  </si>
  <si>
    <t>C13</t>
  </si>
  <si>
    <t>C14</t>
  </si>
  <si>
    <t>C15</t>
  </si>
  <si>
    <t>C1</t>
  </si>
  <si>
    <t>H434X299</t>
  </si>
  <si>
    <t>C3</t>
  </si>
  <si>
    <t>C5</t>
  </si>
  <si>
    <t>C7</t>
  </si>
  <si>
    <t>C16</t>
  </si>
  <si>
    <t>H478X208</t>
  </si>
  <si>
    <t>C18</t>
  </si>
  <si>
    <t>C20</t>
  </si>
  <si>
    <t>C22</t>
  </si>
  <si>
    <t>BOX900X900X50</t>
  </si>
  <si>
    <t>H808X302</t>
  </si>
  <si>
    <t>H440X300</t>
  </si>
  <si>
    <t>H718X308</t>
  </si>
  <si>
    <t>B1</t>
  </si>
  <si>
    <t>H712X306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</si>
  <si>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</si>
  <si>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</si>
  <si>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</si>
  <si>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</si>
  <si>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</si>
  <si>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</si>
  <si>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</si>
  <si>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</si>
  <si>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</si>
  <si>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</si>
  <si>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H466X205</t>
  </si>
  <si>
    <t>B12</t>
  </si>
  <si>
    <t>H732X311</t>
  </si>
  <si>
    <t>H532X314</t>
  </si>
  <si>
    <t>H594X302</t>
  </si>
  <si>
    <t>D1</t>
  </si>
  <si>
    <t>D2</t>
  </si>
  <si>
    <t>D3</t>
  </si>
  <si>
    <t>D4</t>
  </si>
  <si>
    <t>D8</t>
  </si>
  <si>
    <t>BRB120X30</t>
  </si>
  <si>
    <t>D9</t>
  </si>
  <si>
    <t>D10</t>
  </si>
  <si>
    <t>D11</t>
  </si>
  <si>
    <t>BRB100X40</t>
  </si>
  <si>
    <t>BRB150X40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</si>
</sst>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_ "/>
    <numFmt numFmtId="178" formatCode="0.0000_);[Red]\(0.0000\)"/>
  </numFmts>
  <fonts count="58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i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theme="0"/>
      <name val="Calibri"/>
      <family val="2"/>
    </font>
    <font>
      <b/>
      <sz val="12"/>
      <color theme="0"/>
      <name val="微軟正黑體"/>
      <family val="2"/>
      <charset val="136"/>
    </font>
    <font>
      <b/>
      <vertAlign val="subscript"/>
      <sz val="12"/>
      <color theme="0"/>
      <name val="Calibri"/>
      <family val="2"/>
    </font>
    <font>
      <b/>
      <vertAlign val="superscript"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Calibri"/>
      <family val="2"/>
    </font>
    <font>
      <sz val="10"/>
      <color theme="1"/>
      <name val="微軟正黑體"/>
      <family val="2"/>
      <charset val="136"/>
    </font>
    <font>
      <sz val="7"/>
      <color theme="1"/>
      <name val="微軟正黑體"/>
      <family val="2"/>
      <charset val="136"/>
    </font>
    <font>
      <i/>
      <vertAlign val="sub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i/>
      <vertAlign val="subscript"/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2"/>
      <color theme="1"/>
      <name val="標楷體"/>
      <family val="4"/>
      <charset val="136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Calibri"/>
      <family val="2"/>
    </font>
    <font>
      <sz val="10"/>
      <color theme="1"/>
      <name val="新細明體"/>
      <family val="2"/>
      <charset val="136"/>
      <scheme val="minor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i/>
      <sz val="10"/>
      <color theme="1"/>
      <name val="Calibri"/>
      <family val="2"/>
    </font>
    <font>
      <i/>
      <vertAlign val="subscript"/>
      <sz val="10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vertAlign val="subscript"/>
      <sz val="12"/>
      <name val="微軟正黑體"/>
      <family val="2"/>
      <charset val="136"/>
    </font>
    <font>
      <vertAlign val="superscript"/>
      <sz val="12"/>
      <name val="微軟正黑體"/>
      <family val="2"/>
      <charset val="136"/>
    </font>
    <font>
      <vertAlign val="subscript"/>
      <sz val="12"/>
      <name val="Calibri"/>
      <family val="2"/>
    </font>
    <font>
      <vertAlign val="superscript"/>
      <sz val="12"/>
      <name val="Calibri"/>
      <family val="2"/>
    </font>
    <font>
      <sz val="12"/>
      <color theme="3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254">
    <xf numFmtId="0" fontId="0" fillId="0" borderId="0" xfId="0">
      <alignment vertic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>
      <alignment vertical="center"/>
    </xf>
    <xf numFmtId="0" fontId="1" fillId="0" borderId="4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25" fillId="0" borderId="0" xfId="0" applyFont="1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9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7" fillId="4" borderId="0" xfId="0" applyFont="1" applyFill="1" applyBorder="1" applyAlignment="1">
      <alignment horizontal="left" vertical="top" wrapText="1"/>
    </xf>
    <xf numFmtId="0" fontId="17" fillId="4" borderId="0" xfId="0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left" vertical="center" wrapText="1"/>
    </xf>
    <xf numFmtId="0" fontId="17" fillId="4" borderId="0" xfId="0" applyFont="1" applyFill="1">
      <alignment vertical="center"/>
    </xf>
    <xf numFmtId="0" fontId="17" fillId="2" borderId="0" xfId="0" applyFont="1" applyFill="1">
      <alignment vertical="center"/>
    </xf>
    <xf numFmtId="0" fontId="12" fillId="0" borderId="0" xfId="0" applyFont="1">
      <alignment vertical="center"/>
    </xf>
    <xf numFmtId="0" fontId="18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left" vertical="top" wrapText="1"/>
    </xf>
    <xf numFmtId="0" fontId="5" fillId="0" borderId="13" xfId="0" applyFont="1" applyBorder="1">
      <alignment vertical="center"/>
    </xf>
    <xf numFmtId="0" fontId="1" fillId="0" borderId="13" xfId="0" applyFont="1" applyBorder="1">
      <alignment vertical="center"/>
    </xf>
    <xf numFmtId="0" fontId="25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2" fillId="0" borderId="13" xfId="0" applyFont="1" applyBorder="1">
      <alignment vertical="center"/>
    </xf>
    <xf numFmtId="0" fontId="8" fillId="0" borderId="13" xfId="0" applyFont="1" applyBorder="1">
      <alignment vertical="center"/>
    </xf>
    <xf numFmtId="0" fontId="36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9" fillId="0" borderId="0" xfId="0" applyFont="1" applyBorder="1" applyAlignment="1">
      <alignment vertical="center" wrapText="1"/>
    </xf>
    <xf numFmtId="0" fontId="40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right" vertical="center"/>
    </xf>
    <xf numFmtId="0" fontId="36" fillId="0" borderId="13" xfId="0" applyFont="1" applyBorder="1" applyAlignment="1">
      <alignment horizontal="left" vertical="center"/>
    </xf>
    <xf numFmtId="0" fontId="36" fillId="0" borderId="0" xfId="0" applyFont="1">
      <alignment vertical="center"/>
    </xf>
    <xf numFmtId="177" fontId="36" fillId="0" borderId="13" xfId="0" applyNumberFormat="1" applyFont="1" applyBorder="1">
      <alignment vertical="center"/>
    </xf>
    <xf numFmtId="0" fontId="42" fillId="0" borderId="0" xfId="0" applyFont="1">
      <alignment vertical="center"/>
    </xf>
    <xf numFmtId="0" fontId="36" fillId="0" borderId="0" xfId="0" applyFont="1" applyBorder="1">
      <alignment vertical="center"/>
    </xf>
    <xf numFmtId="0" fontId="43" fillId="0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46" fillId="0" borderId="16" xfId="0" applyFont="1" applyBorder="1" applyAlignment="1">
      <alignment horizontal="left" vertical="center"/>
    </xf>
    <xf numFmtId="0" fontId="36" fillId="0" borderId="16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176" fontId="36" fillId="0" borderId="13" xfId="0" applyNumberFormat="1" applyFont="1" applyBorder="1" applyAlignment="1">
      <alignment horizontal="left" vertical="center"/>
    </xf>
    <xf numFmtId="0" fontId="25" fillId="0" borderId="14" xfId="0" applyFont="1" applyBorder="1">
      <alignment vertical="center"/>
    </xf>
    <xf numFmtId="0" fontId="36" fillId="0" borderId="14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38" fillId="0" borderId="0" xfId="0" applyFont="1" applyBorder="1" applyAlignment="1">
      <alignment horizontal="left" vertical="center" wrapText="1"/>
    </xf>
    <xf numFmtId="0" fontId="34" fillId="0" borderId="0" xfId="0" applyFont="1" applyBorder="1" applyAlignment="1">
      <alignment vertical="center" wrapText="1"/>
    </xf>
    <xf numFmtId="177" fontId="8" fillId="0" borderId="13" xfId="0" applyNumberFormat="1" applyFont="1" applyBorder="1" applyAlignment="1">
      <alignment horizontal="left" vertical="center" wrapText="1"/>
    </xf>
    <xf numFmtId="0" fontId="24" fillId="0" borderId="13" xfId="1" applyFont="1" applyBorder="1" applyAlignment="1">
      <alignment horizontal="right" vertical="center"/>
    </xf>
    <xf numFmtId="0" fontId="36" fillId="0" borderId="20" xfId="0" applyFont="1" applyBorder="1">
      <alignment vertical="center"/>
    </xf>
    <xf numFmtId="0" fontId="36" fillId="0" borderId="19" xfId="0" applyFont="1" applyBorder="1" applyAlignment="1">
      <alignment horizontal="left" vertical="top" wrapText="1"/>
    </xf>
    <xf numFmtId="0" fontId="36" fillId="0" borderId="20" xfId="0" applyFont="1" applyBorder="1" applyAlignment="1">
      <alignment vertical="top" wrapText="1"/>
    </xf>
    <xf numFmtId="0" fontId="8" fillId="0" borderId="17" xfId="0" applyFont="1" applyBorder="1">
      <alignment vertical="center"/>
    </xf>
    <xf numFmtId="176" fontId="8" fillId="0" borderId="0" xfId="0" applyNumberFormat="1" applyFont="1">
      <alignment vertical="center"/>
    </xf>
    <xf numFmtId="0" fontId="12" fillId="0" borderId="21" xfId="0" applyFont="1" applyBorder="1">
      <alignment vertical="center"/>
    </xf>
    <xf numFmtId="0" fontId="12" fillId="0" borderId="22" xfId="0" applyFont="1" applyBorder="1">
      <alignment vertical="center"/>
    </xf>
    <xf numFmtId="0" fontId="8" fillId="0" borderId="23" xfId="0" applyFont="1" applyBorder="1">
      <alignment vertical="center"/>
    </xf>
    <xf numFmtId="0" fontId="8" fillId="0" borderId="24" xfId="0" applyFont="1" applyBorder="1">
      <alignment vertical="center"/>
    </xf>
    <xf numFmtId="0" fontId="8" fillId="0" borderId="25" xfId="0" applyFont="1" applyBorder="1">
      <alignment vertical="center"/>
    </xf>
    <xf numFmtId="0" fontId="8" fillId="0" borderId="28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22" xfId="0" applyFont="1" applyBorder="1">
      <alignment vertical="center"/>
    </xf>
    <xf numFmtId="176" fontId="8" fillId="0" borderId="25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1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176" fontId="8" fillId="0" borderId="23" xfId="0" applyNumberFormat="1" applyFont="1" applyBorder="1">
      <alignment vertical="center"/>
    </xf>
    <xf numFmtId="0" fontId="12" fillId="0" borderId="38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8" fillId="0" borderId="16" xfId="0" applyFont="1" applyBorder="1">
      <alignment vertical="center"/>
    </xf>
    <xf numFmtId="0" fontId="8" fillId="0" borderId="39" xfId="0" applyFont="1" applyBorder="1">
      <alignment vertical="center"/>
    </xf>
    <xf numFmtId="0" fontId="12" fillId="0" borderId="20" xfId="0" applyFont="1" applyBorder="1" applyAlignment="1">
      <alignment vertical="center" wrapText="1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9" fillId="5" borderId="0" xfId="0" applyFont="1" applyFill="1">
      <alignment vertical="center"/>
    </xf>
    <xf numFmtId="0" fontId="49" fillId="3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5" borderId="0" xfId="0" applyFont="1" applyFill="1" applyAlignment="1">
      <alignment horizontal="left" vertical="center"/>
    </xf>
    <xf numFmtId="0" fontId="49" fillId="0" borderId="0" xfId="0" applyFont="1" applyFill="1" applyBorder="1" applyAlignment="1">
      <alignment vertical="center"/>
    </xf>
    <xf numFmtId="0" fontId="24" fillId="0" borderId="37" xfId="0" quotePrefix="1" applyFont="1" applyBorder="1">
      <alignment vertical="center"/>
    </xf>
    <xf numFmtId="0" fontId="24" fillId="0" borderId="23" xfId="0" applyFont="1" applyBorder="1">
      <alignment vertical="center"/>
    </xf>
    <xf numFmtId="0" fontId="24" fillId="0" borderId="37" xfId="0" applyFont="1" applyBorder="1">
      <alignment vertical="center"/>
    </xf>
    <xf numFmtId="0" fontId="24" fillId="0" borderId="34" xfId="0" applyFont="1" applyFill="1" applyBorder="1" applyAlignment="1">
      <alignment horizontal="left" vertical="center"/>
    </xf>
    <xf numFmtId="0" fontId="24" fillId="0" borderId="34" xfId="0" applyFont="1" applyBorder="1">
      <alignment vertical="center"/>
    </xf>
    <xf numFmtId="0" fontId="24" fillId="0" borderId="34" xfId="1" applyFont="1" applyBorder="1">
      <alignment vertical="center"/>
    </xf>
    <xf numFmtId="0" fontId="24" fillId="0" borderId="35" xfId="0" applyFont="1" applyBorder="1">
      <alignment vertical="center"/>
    </xf>
    <xf numFmtId="0" fontId="24" fillId="0" borderId="40" xfId="0" applyFont="1" applyBorder="1">
      <alignment vertical="center"/>
    </xf>
    <xf numFmtId="0" fontId="24" fillId="0" borderId="41" xfId="0" applyFont="1" applyBorder="1">
      <alignment vertical="center"/>
    </xf>
    <xf numFmtId="0" fontId="24" fillId="0" borderId="42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8" xfId="0" applyFont="1" applyBorder="1">
      <alignment vertical="center"/>
    </xf>
    <xf numFmtId="0" fontId="24" fillId="0" borderId="37" xfId="0" applyFont="1" applyFill="1" applyBorder="1" applyAlignment="1">
      <alignment horizontal="right" vertical="center"/>
    </xf>
    <xf numFmtId="0" fontId="51" fillId="0" borderId="23" xfId="0" applyFont="1" applyBorder="1">
      <alignment vertical="center"/>
    </xf>
    <xf numFmtId="0" fontId="49" fillId="0" borderId="11" xfId="0" applyFont="1" applyBorder="1">
      <alignment vertical="center"/>
    </xf>
    <xf numFmtId="0" fontId="49" fillId="0" borderId="1" xfId="0" applyFont="1" applyBorder="1">
      <alignment vertical="center"/>
    </xf>
    <xf numFmtId="178" fontId="24" fillId="0" borderId="29" xfId="0" applyNumberFormat="1" applyFont="1" applyBorder="1">
      <alignment vertical="center"/>
    </xf>
    <xf numFmtId="178" fontId="24" fillId="0" borderId="43" xfId="0" applyNumberFormat="1" applyFont="1" applyBorder="1">
      <alignment vertical="center"/>
    </xf>
    <xf numFmtId="178" fontId="24" fillId="0" borderId="30" xfId="0" applyNumberFormat="1" applyFont="1" applyBorder="1">
      <alignment vertical="center"/>
    </xf>
    <xf numFmtId="0" fontId="8" fillId="0" borderId="19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178" fontId="24" fillId="7" borderId="1" xfId="0" applyNumberFormat="1" applyFont="1" applyFill="1" applyBorder="1">
      <alignment vertical="center"/>
    </xf>
    <xf numFmtId="176" fontId="8" fillId="0" borderId="14" xfId="0" applyNumberFormat="1" applyFont="1" applyBorder="1" applyAlignment="1">
      <alignment vertical="center" wrapText="1"/>
    </xf>
    <xf numFmtId="176" fontId="8" fillId="0" borderId="14" xfId="0" applyNumberFormat="1" applyFont="1" applyBorder="1">
      <alignment vertical="center"/>
    </xf>
    <xf numFmtId="0" fontId="8" fillId="8" borderId="14" xfId="0" applyFont="1" applyFill="1" applyBorder="1" applyAlignment="1">
      <alignment vertical="center" wrapText="1"/>
    </xf>
    <xf numFmtId="0" fontId="8" fillId="8" borderId="14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57" fillId="0" borderId="0" xfId="0" applyFont="1">
      <alignment vertical="center"/>
    </xf>
    <xf numFmtId="0" fontId="8" fillId="0" borderId="47" xfId="0" applyFont="1" applyBorder="1">
      <alignment vertical="center"/>
    </xf>
    <xf numFmtId="0" fontId="56" fillId="6" borderId="0" xfId="0" applyFont="1" applyFill="1" applyBorder="1">
      <alignment vertical="center"/>
    </xf>
    <xf numFmtId="0" fontId="8" fillId="0" borderId="7" xfId="0" applyFont="1" applyBorder="1">
      <alignment vertical="center"/>
    </xf>
    <xf numFmtId="0" fontId="0" fillId="0" borderId="47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2" fillId="0" borderId="47" xfId="0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0" borderId="41" xfId="0" applyFont="1" applyBorder="1">
      <alignment vertical="center"/>
    </xf>
    <xf numFmtId="0" fontId="8" fillId="0" borderId="42" xfId="0" applyFont="1" applyBorder="1">
      <alignment vertical="center"/>
    </xf>
    <xf numFmtId="0" fontId="8" fillId="0" borderId="36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5" xfId="0" applyFont="1" applyBorder="1">
      <alignment vertical="center"/>
    </xf>
    <xf numFmtId="0" fontId="57" fillId="0" borderId="0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8" fillId="0" borderId="14" xfId="0" applyFont="1" applyBorder="1">
      <alignment vertical="center"/>
    </xf>
    <xf numFmtId="0" fontId="8" fillId="0" borderId="0" xfId="0" applyFont="1" applyFill="1" applyBorder="1">
      <alignment vertical="center"/>
    </xf>
    <xf numFmtId="0" fontId="57" fillId="0" borderId="0" xfId="0" applyFont="1">
      <alignment vertical="center"/>
    </xf>
    <xf numFmtId="0" fontId="8" fillId="0" borderId="16" xfId="0" applyFont="1" applyBorder="1" applyAlignment="1">
      <alignment horizontal="left" vertical="center"/>
    </xf>
    <xf numFmtId="0" fontId="8" fillId="0" borderId="51" xfId="0" applyFont="1" applyBorder="1" applyAlignment="1">
      <alignment vertical="center" wrapText="1"/>
    </xf>
    <xf numFmtId="176" fontId="8" fillId="0" borderId="14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>
      <alignment vertical="center"/>
    </xf>
    <xf numFmtId="176" fontId="8" fillId="0" borderId="14" xfId="0" applyNumberFormat="1" applyFont="1" applyFill="1" applyBorder="1">
      <alignment vertical="center"/>
    </xf>
    <xf numFmtId="176" fontId="8" fillId="0" borderId="20" xfId="0" applyNumberFormat="1" applyFont="1" applyBorder="1">
      <alignment vertical="center"/>
    </xf>
    <xf numFmtId="0" fontId="24" fillId="0" borderId="52" xfId="0" applyFont="1" applyFill="1" applyBorder="1" applyAlignment="1">
      <alignment horizontal="left" vertical="center"/>
    </xf>
    <xf numFmtId="0" fontId="24" fillId="6" borderId="53" xfId="0" applyFont="1" applyFill="1" applyBorder="1" applyAlignment="1">
      <alignment horizontal="left" vertical="center"/>
    </xf>
    <xf numFmtId="0" fontId="24" fillId="0" borderId="54" xfId="0" applyFont="1" applyFill="1" applyBorder="1" applyAlignment="1">
      <alignment horizontal="left" vertical="center"/>
    </xf>
    <xf numFmtId="176" fontId="8" fillId="0" borderId="58" xfId="0" applyNumberFormat="1" applyFont="1" applyBorder="1">
      <alignment vertical="center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12" fillId="0" borderId="41" xfId="0" applyFont="1" applyBorder="1" applyAlignment="1">
      <alignment vertical="center" wrapText="1"/>
    </xf>
    <xf numFmtId="176" fontId="8" fillId="0" borderId="42" xfId="0" applyNumberFormat="1" applyFont="1" applyBorder="1">
      <alignment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right" vertical="center"/>
    </xf>
    <xf numFmtId="0" fontId="8" fillId="0" borderId="49" xfId="0" applyFont="1" applyBorder="1" applyAlignment="1">
      <alignment horizontal="right" vertical="center"/>
    </xf>
    <xf numFmtId="0" fontId="8" fillId="0" borderId="50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8" fillId="0" borderId="17" xfId="0" applyFont="1" applyBorder="1" applyAlignment="1">
      <alignment horizontal="right" vertical="center"/>
    </xf>
    <xf numFmtId="0" fontId="49" fillId="0" borderId="26" xfId="0" applyFont="1" applyFill="1" applyBorder="1" applyAlignment="1">
      <alignment horizontal="left" vertical="center"/>
    </xf>
    <xf numFmtId="0" fontId="49" fillId="0" borderId="28" xfId="0" applyFont="1" applyFill="1" applyBorder="1" applyAlignment="1">
      <alignment horizontal="left" vertical="center"/>
    </xf>
    <xf numFmtId="0" fontId="49" fillId="3" borderId="0" xfId="0" applyFont="1" applyFill="1" applyAlignment="1">
      <alignment horizontal="left" vertical="center"/>
    </xf>
    <xf numFmtId="0" fontId="24" fillId="0" borderId="26" xfId="0" applyFont="1" applyFill="1" applyBorder="1" applyAlignment="1">
      <alignment horizontal="left" vertical="center"/>
    </xf>
    <xf numFmtId="0" fontId="24" fillId="0" borderId="28" xfId="0" applyFont="1" applyFill="1" applyBorder="1" applyAlignment="1">
      <alignment horizontal="left" vertical="center"/>
    </xf>
    <xf numFmtId="0" fontId="36" fillId="0" borderId="14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4" xfId="0" applyFont="1" applyBorder="1" applyAlignment="1">
      <alignment horizontal="left" vertical="top" wrapText="1"/>
    </xf>
    <xf numFmtId="0" fontId="36" fillId="0" borderId="19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6</xdr:row>
          <xdr:rowOff>9525</xdr:rowOff>
        </xdr:from>
        <xdr:to>
          <xdr:col>4</xdr:col>
          <xdr:colOff>295275</xdr:colOff>
          <xdr:row>7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47625</xdr:rowOff>
        </xdr:from>
        <xdr:to>
          <xdr:col>5</xdr:col>
          <xdr:colOff>200025</xdr:colOff>
          <xdr:row>33</xdr:row>
          <xdr:rowOff>19050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504825</xdr:colOff>
          <xdr:row>30</xdr:row>
          <xdr:rowOff>0</xdr:rowOff>
        </xdr:from>
        <xdr:to>
          <xdr:col>4</xdr:col>
          <xdr:colOff>142875</xdr:colOff>
          <xdr:row>31</xdr:row>
          <xdr:rowOff>19050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104775</xdr:colOff>
          <xdr:row>30</xdr:row>
          <xdr:rowOff>0</xdr:rowOff>
        </xdr:from>
        <xdr:to>
          <xdr:col>11</xdr:col>
          <xdr:colOff>238125</xdr:colOff>
          <xdr:row>31</xdr:row>
          <xdr:rowOff>19050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28</xdr:row>
          <xdr:rowOff>9525</xdr:rowOff>
        </xdr:from>
        <xdr:to>
          <xdr:col>11</xdr:col>
          <xdr:colOff>180975</xdr:colOff>
          <xdr:row>29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33</xdr:row>
          <xdr:rowOff>104775</xdr:rowOff>
        </xdr:from>
        <xdr:to>
          <xdr:col>14</xdr:col>
          <xdr:colOff>180975</xdr:colOff>
          <xdr:row>49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50</xdr:row>
          <xdr:rowOff>38100</xdr:rowOff>
        </xdr:from>
        <xdr:to>
          <xdr:col>6</xdr:col>
          <xdr:colOff>28575</xdr:colOff>
          <xdr:row>56</xdr:row>
          <xdr:rowOff>47625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85725</xdr:rowOff>
        </xdr:from>
        <xdr:to>
          <xdr:col>3</xdr:col>
          <xdr:colOff>333375</xdr:colOff>
          <xdr:row>63</xdr:row>
          <xdr:rowOff>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64</xdr:row>
          <xdr:rowOff>28575</xdr:rowOff>
        </xdr:from>
        <xdr:to>
          <xdr:col>1</xdr:col>
          <xdr:colOff>314325</xdr:colOff>
          <xdr:row>66</xdr:row>
          <xdr:rowOff>85725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69</xdr:row>
          <xdr:rowOff>0</xdr:rowOff>
        </xdr:from>
        <xdr:to>
          <xdr:col>1</xdr:col>
          <xdr:colOff>333375</xdr:colOff>
          <xdr:row>71</xdr:row>
          <xdr:rowOff>47625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80</xdr:row>
          <xdr:rowOff>28575</xdr:rowOff>
        </xdr:from>
        <xdr:to>
          <xdr:col>1</xdr:col>
          <xdr:colOff>371475</xdr:colOff>
          <xdr:row>82</xdr:row>
          <xdr:rowOff>85725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28575</xdr:rowOff>
        </xdr:from>
        <xdr:to>
          <xdr:col>3</xdr:col>
          <xdr:colOff>390525</xdr:colOff>
          <xdr:row>79</xdr:row>
          <xdr:rowOff>57150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</xdr:colOff>
          <xdr:row>47</xdr:row>
          <xdr:rowOff>85725</xdr:rowOff>
        </xdr:from>
        <xdr:to>
          <xdr:col>8</xdr:col>
          <xdr:colOff>352425</xdr:colOff>
          <xdr:row>50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78</xdr:row>
          <xdr:rowOff>9525</xdr:rowOff>
        </xdr:from>
        <xdr:to>
          <xdr:col>7</xdr:col>
          <xdr:colOff>257175</xdr:colOff>
          <xdr:row>91</xdr:row>
          <xdr:rowOff>47625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7.bin"/><Relationship Id="rId26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5" Type="http://schemas.openxmlformats.org/officeDocument/2006/relationships/image" Target="../media/image11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6.bin"/><Relationship Id="rId20" Type="http://schemas.openxmlformats.org/officeDocument/2006/relationships/oleObject" Target="../embeddings/oleObject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0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package" Target="../embeddings/Microsoft_Word___.docx"/><Relationship Id="rId22" Type="http://schemas.openxmlformats.org/officeDocument/2006/relationships/oleObject" Target="../embeddings/oleObject9.bin"/><Relationship Id="rId27" Type="http://schemas.openxmlformats.org/officeDocument/2006/relationships/image" Target="../media/image12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__1.vsd"/><Relationship Id="rId5" Type="http://schemas.openxmlformats.org/officeDocument/2006/relationships/image" Target="../media/image13.emf"/><Relationship Id="rId4" Type="http://schemas.openxmlformats.org/officeDocument/2006/relationships/oleObject" Target="../embeddings/oleObject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7" zoomScale="55" zoomScaleNormal="55" workbookViewId="0">
      <selection activeCell="D50" sqref="D50"/>
    </sheetView>
  </sheetViews>
  <sheetFormatPr defaultColWidth="9" defaultRowHeight="15.75"/>
  <cols>
    <col min="1" max="1" width="18.625" style="119" bestFit="1" customWidth="1"/>
    <col min="2" max="2" width="18.25" style="119" customWidth="1"/>
    <col min="3" max="3" width="14.25" style="119" customWidth="1"/>
    <col min="4" max="4" width="13.375" style="119" customWidth="1"/>
    <col min="5" max="5" width="14.625" style="119" customWidth="1"/>
    <col min="6" max="6" width="15.875" style="119" customWidth="1"/>
    <col min="7" max="7" width="14.625" style="119" customWidth="1"/>
    <col min="8" max="9" width="9" style="119"/>
    <col min="10" max="10" width="65.125" style="119" bestFit="1" customWidth="1"/>
    <col min="11" max="16384" width="9" style="119"/>
  </cols>
  <sheetData>
    <row r="1" spans="1:10" ht="16.5">
      <c r="A1" s="120" t="s">
        <v>352</v>
      </c>
      <c r="C1" s="121" t="s">
        <v>353</v>
      </c>
      <c r="I1" s="122"/>
    </row>
    <row r="2" spans="1:10" ht="16.5">
      <c r="A2" s="120"/>
      <c r="I2" s="122"/>
    </row>
    <row r="3" spans="1:10" ht="16.5">
      <c r="A3" s="120" t="s">
        <v>354</v>
      </c>
      <c r="B3" s="123" t="str">
        <f>'Seismic Zone, Taiwan'!A329</f>
        <v>臺東縣</v>
      </c>
      <c r="C3" s="123" t="str">
        <f>'Seismic Zone, Taiwan'!B329</f>
        <v>臺東市</v>
      </c>
      <c r="I3" s="122"/>
    </row>
    <row r="4" spans="1:10">
      <c r="I4" s="122"/>
    </row>
    <row r="5" spans="1:10" ht="18.75">
      <c r="A5" s="13" t="s">
        <v>341</v>
      </c>
      <c r="B5" s="13" t="s">
        <v>342</v>
      </c>
      <c r="C5" s="13" t="s">
        <v>343</v>
      </c>
      <c r="D5" s="13" t="s">
        <v>344</v>
      </c>
      <c r="E5" s="120" t="s">
        <v>355</v>
      </c>
      <c r="I5" s="122"/>
    </row>
    <row r="6" spans="1:10">
      <c r="A6" s="123">
        <f>'Seismic Zone, Taiwan'!C329</f>
        <v>0.8</v>
      </c>
      <c r="B6" s="123">
        <f>'Seismic Zone, Taiwan'!D329</f>
        <v>0.45</v>
      </c>
      <c r="C6" s="123">
        <f>'Seismic Zone, Taiwan'!E329</f>
        <v>1</v>
      </c>
      <c r="D6" s="123">
        <f>'Seismic Zone, Taiwan'!F329</f>
        <v>0.55000000000000004</v>
      </c>
      <c r="E6" s="123">
        <f>'Seismic Zone, Taiwan'!G329</f>
        <v>0</v>
      </c>
      <c r="I6" s="122"/>
    </row>
    <row r="7" spans="1:10">
      <c r="I7" s="122"/>
    </row>
    <row r="8" spans="1:10" ht="16.5">
      <c r="A8" s="120" t="s">
        <v>667</v>
      </c>
      <c r="B8" s="119" t="s">
        <v>434</v>
      </c>
      <c r="C8" s="123">
        <v>4.8</v>
      </c>
      <c r="D8" s="124"/>
      <c r="I8" s="122"/>
    </row>
    <row r="9" spans="1:10">
      <c r="B9" s="119" t="s">
        <v>510</v>
      </c>
      <c r="C9" s="119">
        <f>1+(C8-1)/1.5</f>
        <v>3.5333333333333332</v>
      </c>
      <c r="I9" s="122"/>
    </row>
    <row r="10" spans="1:10" ht="16.5">
      <c r="A10" s="120" t="s">
        <v>668</v>
      </c>
      <c r="B10" s="119" t="s">
        <v>434</v>
      </c>
      <c r="C10" s="123">
        <v>4.8</v>
      </c>
      <c r="I10" s="122"/>
    </row>
    <row r="11" spans="1:10">
      <c r="B11" s="119" t="s">
        <v>510</v>
      </c>
      <c r="C11" s="119">
        <f>1+(C10-1)/1.5</f>
        <v>3.5333333333333332</v>
      </c>
      <c r="I11" s="122"/>
    </row>
    <row r="12" spans="1:10" ht="16.5">
      <c r="A12" s="120"/>
      <c r="C12" s="124"/>
      <c r="D12" s="124"/>
      <c r="I12" s="122"/>
    </row>
    <row r="13" spans="1:10" ht="16.5">
      <c r="A13" s="120" t="s">
        <v>495</v>
      </c>
      <c r="B13" s="119" t="s">
        <v>496</v>
      </c>
      <c r="C13" s="123">
        <v>17</v>
      </c>
      <c r="D13" s="119" t="s">
        <v>497</v>
      </c>
      <c r="I13" s="122"/>
    </row>
    <row r="14" spans="1:10" ht="16.5">
      <c r="A14" s="120"/>
      <c r="B14" s="119" t="s">
        <v>640</v>
      </c>
      <c r="C14" s="207" t="s">
        <v>617</v>
      </c>
      <c r="D14" s="207"/>
      <c r="E14" s="207"/>
      <c r="F14" s="207"/>
      <c r="G14" s="207"/>
      <c r="H14" s="207"/>
      <c r="I14" s="122"/>
    </row>
    <row r="15" spans="1:10" ht="16.5">
      <c r="A15" s="120"/>
      <c r="B15" s="119" t="s">
        <v>641</v>
      </c>
      <c r="C15" s="207" t="s">
        <v>642</v>
      </c>
      <c r="D15" s="207"/>
      <c r="E15" s="207"/>
      <c r="F15" s="207"/>
      <c r="G15" s="207"/>
      <c r="H15" s="207"/>
      <c r="I15" s="125"/>
      <c r="J15" s="119" t="s">
        <v>499</v>
      </c>
    </row>
    <row r="16" spans="1:10">
      <c r="B16" s="119" t="s">
        <v>512</v>
      </c>
      <c r="C16" s="123">
        <f>IF(D16="第一類建築物",1.5,IF(D16="第二類建築物",1.5,IF(D16="第三類建築物",1.25, IF(D16="第四類建築物",1,"ERROR"))))</f>
        <v>1.25</v>
      </c>
      <c r="D16" s="119" t="s">
        <v>589</v>
      </c>
      <c r="F16" s="119" t="s">
        <v>587</v>
      </c>
      <c r="I16" s="122"/>
      <c r="J16" s="119" t="s">
        <v>505</v>
      </c>
    </row>
    <row r="17" spans="1:10" ht="20.25">
      <c r="B17" s="119" t="s">
        <v>643</v>
      </c>
      <c r="C17" s="123">
        <v>1</v>
      </c>
      <c r="F17" s="119" t="s">
        <v>588</v>
      </c>
      <c r="I17" s="122"/>
      <c r="J17" s="119" t="s">
        <v>506</v>
      </c>
    </row>
    <row r="18" spans="1:10">
      <c r="F18" s="119" t="s">
        <v>590</v>
      </c>
      <c r="I18" s="122"/>
    </row>
    <row r="19" spans="1:10" ht="16.5">
      <c r="A19" s="120" t="s">
        <v>433</v>
      </c>
      <c r="B19" s="123" t="s">
        <v>405</v>
      </c>
      <c r="F19" s="119" t="s">
        <v>591</v>
      </c>
      <c r="I19" s="122"/>
    </row>
    <row r="20" spans="1:10" ht="16.5">
      <c r="A20" s="120"/>
      <c r="B20" s="124"/>
      <c r="I20" s="122"/>
      <c r="J20" s="119" t="s">
        <v>507</v>
      </c>
    </row>
    <row r="21" spans="1:10" ht="16.5">
      <c r="A21" s="120"/>
      <c r="B21" s="124"/>
      <c r="I21" s="122"/>
      <c r="J21" s="119" t="s">
        <v>508</v>
      </c>
    </row>
    <row r="22" spans="1:10">
      <c r="I22" s="122"/>
      <c r="J22" s="119" t="s">
        <v>509</v>
      </c>
    </row>
    <row r="23" spans="1:10" ht="16.5">
      <c r="A23" s="120" t="s">
        <v>432</v>
      </c>
      <c r="B23" s="119">
        <f>E6</f>
        <v>0</v>
      </c>
      <c r="C23" s="119" t="s">
        <v>435</v>
      </c>
      <c r="D23" s="119" t="s">
        <v>436</v>
      </c>
      <c r="E23" s="123">
        <v>1000</v>
      </c>
      <c r="F23" s="119" t="s">
        <v>437</v>
      </c>
      <c r="G23" s="119" t="s">
        <v>519</v>
      </c>
      <c r="I23" s="122"/>
    </row>
    <row r="24" spans="1:10" ht="20.25">
      <c r="B24" s="119" t="s">
        <v>485</v>
      </c>
      <c r="D24" s="119" t="s">
        <v>644</v>
      </c>
      <c r="E24" s="123">
        <f>'Near Fault'!H4</f>
        <v>1</v>
      </c>
      <c r="I24" s="122"/>
    </row>
    <row r="25" spans="1:10" ht="20.25">
      <c r="D25" s="119" t="s">
        <v>645</v>
      </c>
      <c r="E25" s="123">
        <f>'Near Fault'!H6</f>
        <v>1</v>
      </c>
      <c r="I25" s="122"/>
    </row>
    <row r="26" spans="1:10" ht="20.25">
      <c r="B26" s="119" t="s">
        <v>486</v>
      </c>
      <c r="D26" s="119" t="s">
        <v>644</v>
      </c>
      <c r="E26" s="123">
        <f>'Near Fault'!H9</f>
        <v>1</v>
      </c>
      <c r="I26" s="122"/>
    </row>
    <row r="27" spans="1:10" ht="20.25">
      <c r="D27" s="119" t="s">
        <v>645</v>
      </c>
      <c r="E27" s="123">
        <f>'Near Fault'!H11</f>
        <v>1</v>
      </c>
      <c r="I27" s="122"/>
    </row>
    <row r="28" spans="1:10">
      <c r="E28" s="124"/>
      <c r="I28" s="122"/>
    </row>
    <row r="29" spans="1:10" ht="20.25">
      <c r="A29" s="119" t="s">
        <v>646</v>
      </c>
      <c r="B29" s="124">
        <f>A6*E24</f>
        <v>0.8</v>
      </c>
      <c r="D29" s="119" t="s">
        <v>647</v>
      </c>
      <c r="E29" s="119">
        <f>IF($B$19="第一類地盤",'Soil type'!H5,IF(Sheet4!$B$19="第二類地盤",'Soil type'!H6,IF(Sheet4!$B$19="第三類地盤",'Soil type'!H7,"ERROR")))</f>
        <v>1</v>
      </c>
      <c r="G29" s="119" t="s">
        <v>648</v>
      </c>
      <c r="H29" s="119">
        <f>B29*E29</f>
        <v>0.8</v>
      </c>
      <c r="I29" s="122"/>
    </row>
    <row r="30" spans="1:10" ht="20.25">
      <c r="A30" s="119" t="s">
        <v>649</v>
      </c>
      <c r="B30" s="124">
        <f>C6*E26</f>
        <v>1</v>
      </c>
      <c r="D30" s="119" t="s">
        <v>647</v>
      </c>
      <c r="E30" s="119">
        <f>IF($B$19="第一類地盤",'Soil type'!I5,IF(Sheet4!$B$19="第二類地盤",'Soil type'!I6,IF(Sheet4!$B$19="第三類地盤",'Soil type'!I7,"ERROR")))</f>
        <v>1</v>
      </c>
      <c r="G30" s="119" t="s">
        <v>650</v>
      </c>
      <c r="H30" s="119">
        <f>B30*E30</f>
        <v>1</v>
      </c>
      <c r="I30" s="122"/>
    </row>
    <row r="31" spans="1:10" ht="20.25">
      <c r="A31" s="119" t="s">
        <v>651</v>
      </c>
      <c r="B31" s="124">
        <f>B6*E25</f>
        <v>0.45</v>
      </c>
      <c r="D31" s="119" t="s">
        <v>652</v>
      </c>
      <c r="E31" s="119">
        <f>IF($B$19="第一類地盤",'Soil type'!H13,IF(Sheet4!$B$19="第二類地盤",'Soil type'!H14,IF(Sheet4!$B$19="第三類地盤",'Soil type'!H15,"ERROR")))</f>
        <v>1</v>
      </c>
      <c r="G31" s="119" t="s">
        <v>653</v>
      </c>
      <c r="H31" s="119">
        <f>B31*E31</f>
        <v>0.45</v>
      </c>
      <c r="I31" s="122"/>
    </row>
    <row r="32" spans="1:10" ht="20.25">
      <c r="A32" s="119" t="s">
        <v>654</v>
      </c>
      <c r="B32" s="124">
        <f>D6*E27</f>
        <v>0.55000000000000004</v>
      </c>
      <c r="D32" s="119" t="s">
        <v>652</v>
      </c>
      <c r="E32" s="119">
        <f>IF($B$19="第一類地盤",'Soil type'!I13,IF(Sheet4!$B$19="第二類地盤",'Soil type'!I14,IF(Sheet4!$B$19="第三類地盤",'Soil type'!I15,"ERROR")))</f>
        <v>1</v>
      </c>
      <c r="G32" s="119" t="s">
        <v>655</v>
      </c>
      <c r="H32" s="119">
        <f>B32*E32</f>
        <v>0.55000000000000004</v>
      </c>
      <c r="I32" s="122"/>
    </row>
    <row r="33" spans="1:9" ht="16.5" thickBot="1">
      <c r="B33" s="124"/>
      <c r="I33" s="122"/>
    </row>
    <row r="34" spans="1:9" ht="16.5" thickBot="1">
      <c r="A34" s="142"/>
      <c r="B34" s="208" t="s">
        <v>799</v>
      </c>
      <c r="C34" s="209"/>
      <c r="D34" s="208" t="s">
        <v>800</v>
      </c>
      <c r="E34" s="209"/>
      <c r="F34" s="126"/>
      <c r="I34" s="122"/>
    </row>
    <row r="35" spans="1:9" ht="18.75">
      <c r="A35" s="189" t="s">
        <v>670</v>
      </c>
      <c r="B35" s="190">
        <v>1.4127000000000001</v>
      </c>
      <c r="C35" s="191" t="s">
        <v>656</v>
      </c>
      <c r="D35" s="190">
        <v>0.75960000000000005</v>
      </c>
      <c r="E35" s="191" t="s">
        <v>656</v>
      </c>
      <c r="I35" s="122"/>
    </row>
    <row r="36" spans="1:9" ht="18.75">
      <c r="A36" s="130" t="s">
        <v>669</v>
      </c>
      <c r="B36" s="139">
        <f>IF(C14="鋼構造建築物",0.085*C13^(3/4),IF(C14="鋼筋混泥土建築物、鋼骨鋼筋混凝土建築物及鋼造偏心斜撐建築物",0.07*C13^(3/4),0.05*C13^(3/4)))</f>
        <v>0.71163224243037881</v>
      </c>
      <c r="C36" s="128" t="s">
        <v>500</v>
      </c>
      <c r="D36" s="139">
        <f>IF(C15="鋼構造建築物",0.085*C13^(3/4),IF(C15="鋼筋混泥土建築物、鋼骨鋼筋混凝土建築物及鋼造偏心斜撐建築物",0.07*C13^(3/4),0.05*C13^(3/4)))</f>
        <v>0.58605008200148845</v>
      </c>
      <c r="E36" s="128" t="s">
        <v>500</v>
      </c>
      <c r="I36" s="122"/>
    </row>
    <row r="37" spans="1:9">
      <c r="A37" s="131" t="s">
        <v>498</v>
      </c>
      <c r="B37" s="127">
        <f>IF(B35&lt;=B36*B40, B35, B36)</f>
        <v>0.71163224243037881</v>
      </c>
      <c r="C37" s="140" t="str">
        <f>IF(B37=B36, "經驗公式", IF(B37=B35,"ETABS週期","ERROR"))</f>
        <v>經驗公式</v>
      </c>
      <c r="D37" s="127">
        <f>IF(D35&lt;=D36*D40, D35, D36)</f>
        <v>0.58605008200148845</v>
      </c>
      <c r="E37" s="140" t="str">
        <f>IF(D37=D36, "經驗公式", IF(D37=D35,"ETABS週期","ERROR"))</f>
        <v>經驗公式</v>
      </c>
      <c r="I37" s="122"/>
    </row>
    <row r="38" spans="1:9" ht="18.75">
      <c r="A38" s="131" t="s">
        <v>657</v>
      </c>
      <c r="B38" s="127">
        <f>H31/H29</f>
        <v>0.5625</v>
      </c>
      <c r="C38" s="128" t="s">
        <v>500</v>
      </c>
      <c r="D38" s="127">
        <f>B38</f>
        <v>0.5625</v>
      </c>
      <c r="E38" s="128" t="s">
        <v>500</v>
      </c>
      <c r="I38" s="122"/>
    </row>
    <row r="39" spans="1:9" ht="18.75">
      <c r="A39" s="131" t="s">
        <v>658</v>
      </c>
      <c r="B39" s="127">
        <f>H32/H30</f>
        <v>0.55000000000000004</v>
      </c>
      <c r="C39" s="128" t="s">
        <v>500</v>
      </c>
      <c r="D39" s="129">
        <f>B39</f>
        <v>0.55000000000000004</v>
      </c>
      <c r="E39" s="128" t="s">
        <v>500</v>
      </c>
      <c r="I39" s="122"/>
    </row>
    <row r="40" spans="1:9" ht="18.75">
      <c r="A40" s="131" t="s">
        <v>659</v>
      </c>
      <c r="B40" s="129">
        <f>IF(H31&gt;=0.4,1.2,IF(AND(H31&lt;0.4,H31&gt;=0.35),(1.25-1.2)*(H31-0.4)/(0.35-0.4)+1.2,IF(AND(H31&lt;0.35,H31&gt;=0.3),(1.3-1.25)*(H31-0.35)/(0.3-0.35)+1.25,1.3)))</f>
        <v>1.2</v>
      </c>
      <c r="C40" s="128"/>
      <c r="D40" s="129">
        <f>B40</f>
        <v>1.2</v>
      </c>
      <c r="E40" s="128"/>
      <c r="I40" s="122"/>
    </row>
    <row r="41" spans="1:9" ht="18.75">
      <c r="A41" s="131" t="s">
        <v>660</v>
      </c>
      <c r="B41" s="129">
        <f>IF(B37&lt;=0.2*B38,H29*(0.4+3*B37/B38),IF(AND(B37&gt;0.2*B38,B37&lt;=B38),H29,IF(AND(B37&gt;B38,B37&lt;=2.5*B38),H31/B37,IF(B37&gt;2.5*B38,0.4*H29))))</f>
        <v>0.6323490887135077</v>
      </c>
      <c r="C41" s="128"/>
      <c r="D41" s="129">
        <f>IF(D37&lt;=0.2*D38,H29*(0.4+3*D37/D38),IF(AND(D37&gt;0.2*D38,D37&lt;=D38),H29,IF(AND(D37&gt;D38,D37&lt;=2.5*D38),H31/D37,IF(D37&gt;2.5*D38,0.4*H29))))</f>
        <v>0.76785246486640213</v>
      </c>
      <c r="E41" s="128"/>
      <c r="I41" s="122"/>
    </row>
    <row r="42" spans="1:9" ht="18.75">
      <c r="A42" s="131" t="s">
        <v>661</v>
      </c>
      <c r="B42" s="129">
        <f>IF(B37&lt;=0.2*B39,H30*(0.4+3*B37/B39),IF(AND(B37&gt;0.2*B39,B37&lt;=B39),H30,IF(AND(B37&gt;B39,B37&lt;=2.5*B39),H32/B37,IF(B37&gt;2.5*B39,0.4*H30))))</f>
        <v>0.77287110842762052</v>
      </c>
      <c r="C42" s="128"/>
      <c r="D42" s="129">
        <f>IF(D37&lt;=0.2*D39,H30*(0.4+3*D37/D39),IF(AND(D37&gt;0.2*D39,D37&lt;=D39),H30,IF(AND(D37&gt;D39,D37&lt;=2.5*D39),H32/D37,IF(D37&gt;2.5*D39,0.4*H30))))</f>
        <v>0.93848634594782487</v>
      </c>
      <c r="E42" s="128"/>
      <c r="I42" s="122"/>
    </row>
    <row r="43" spans="1:9" ht="18.75">
      <c r="A43" s="131" t="s">
        <v>662</v>
      </c>
      <c r="B43" s="129">
        <f>IF(B37&gt;=B38,C9,IF(AND(B37&gt;=0.6*B38,B37&lt;=B38),SQRT(2*C9-1)+(C9-SQRT(2*C9-1))*(B37-0.6*B38)/(0.4*B38),IF(AND(B37&gt;=0.2*B38,B37&lt;=0.6*B38),SQRT(2*C9-1),IF(B37&lt;=0.2*B38,SQRT(2*C9-1)+(SQRT(2*C9-1)-1)*(B37-0.2*B38)/(0.2*B38)))))</f>
        <v>3.5333333333333332</v>
      </c>
      <c r="C43" s="128"/>
      <c r="D43" s="129">
        <f>IF(D37&gt;=D38,C11,IF(AND(D37&gt;=0.6*D38,D37&lt;=D38),SQRT(2*C11-1)+(C11-SQRT(2*C11-1))*(D37-0.6*D38)/(0.4*D38),IF(AND(D37&gt;=0.2*D38,D37&lt;=0.6*D38),SQRT(2*C11-1),IF(D37&lt;=0.2*D38,SQRT(2*C11-1)+(SQRT(2*C11-1)-1)*(D37-0.2*D38)/(0.2*D38)))))</f>
        <v>3.5333333333333332</v>
      </c>
      <c r="E43" s="128"/>
      <c r="I43" s="122"/>
    </row>
    <row r="44" spans="1:9" ht="18.75">
      <c r="A44" s="131" t="s">
        <v>663</v>
      </c>
      <c r="B44" s="129">
        <f>IF(B41/B43&lt;=0.3,B41/B43,IF(AND(B41/B43&gt;0.3,B41/B43&lt;0.8),0.52*B41/B43+0.144,IF(B41/B43&gt;=0.8,0.7*B41/B43,"ERROR")))</f>
        <v>0.17896672322080406</v>
      </c>
      <c r="C44" s="128"/>
      <c r="D44" s="129">
        <f>IF(D41/D43&lt;=0.3,D41/D43,IF(AND(D41/D43&gt;0.3,D41/D43&lt;0.8),0.52*D41/D43+0.144,IF(D41/D43&gt;=0.8,0.7*D41/D43,"ERROR")))</f>
        <v>0.21731673533954779</v>
      </c>
      <c r="E44" s="128"/>
      <c r="I44" s="122"/>
    </row>
    <row r="45" spans="1:9" ht="18.75">
      <c r="A45" s="131" t="s">
        <v>664</v>
      </c>
      <c r="B45" s="129">
        <f>IF(B37&gt;=B38,C8,IF(AND(B37&gt;=0.6*B38,B37&lt;=B38),SQRT(2*C8-1)+(C8-SQRT(2*C8-1))*(B37-0.6*B38)/(0.4*B38),IF(AND(B37&gt;=0.2*B38,B37&lt;=0.6*B38),SQRT(2*C8-1),IF(B37&lt;=0.2*B38,SQRT(2*C8-1)+(SQRT(2*C8-1)-1)*(B37-0.2*B38)/(0.2*B38)))))</f>
        <v>4.8</v>
      </c>
      <c r="C45" s="128"/>
      <c r="D45" s="129">
        <f>IF(D37&gt;=D38,C10,IF(AND(D37&gt;=0.6*D38,D37&lt;=D38),SQRT(2*C10-1)+(C10-SQRT(2*C10-1))*(D37-0.6*D38)/(0.4*D38),IF(AND(D37&gt;=0.2*D38,D37&lt;=0.6*D38),SQRT(2*C10-1),IF(D37&lt;=0.2*D38,SQRT(2*C10-1)+(SQRT(2*C10-1)-1)*(D37-0.2*D38)/(0.2*D38)))))</f>
        <v>4.8</v>
      </c>
      <c r="E45" s="128"/>
      <c r="I45" s="122"/>
    </row>
    <row r="46" spans="1:9" ht="19.5" thickBot="1">
      <c r="A46" s="134" t="s">
        <v>665</v>
      </c>
      <c r="B46" s="135">
        <f>IF(B42/B45&lt;=0.3,B42/B45,IF(AND(B42/B45&gt;0.3,B42/B45&lt;0.8),0.52*B42/B45+0.144,IF(B42/B45&gt;=0.8,0.7*B42/B45,"ERROR")))</f>
        <v>0.16101481425575428</v>
      </c>
      <c r="C46" s="136"/>
      <c r="D46" s="135">
        <f>IF(D42/D45&lt;=0.3,D42/D45,IF(AND(D42/D45&gt;0.3,D42/D45&lt;0.8),0.52*D42/D45+0.144,IF(D42/D45&gt;=0.8,0.7*D42/D45,"ERROR")))</f>
        <v>0.19551798873913018</v>
      </c>
      <c r="E46" s="136"/>
      <c r="I46" s="122"/>
    </row>
    <row r="47" spans="1:9">
      <c r="A47" s="137" t="s">
        <v>513</v>
      </c>
      <c r="B47" s="143">
        <f>C16*B44/1.4/C17</f>
        <v>0.15979171716143223</v>
      </c>
      <c r="C47" s="138" t="s">
        <v>514</v>
      </c>
      <c r="D47" s="143">
        <f>C16*D44/1.4/C17</f>
        <v>0.19403279941031054</v>
      </c>
      <c r="E47" s="138" t="s">
        <v>514</v>
      </c>
      <c r="I47" s="122"/>
    </row>
    <row r="48" spans="1:9">
      <c r="A48" s="132" t="s">
        <v>515</v>
      </c>
      <c r="B48" s="144">
        <f>C16*B43/4.2/C17*B44</f>
        <v>0.18819913354568679</v>
      </c>
      <c r="C48" s="131" t="s">
        <v>514</v>
      </c>
      <c r="D48" s="144">
        <f>C16*D43/4.2/C17*D44</f>
        <v>0.2285275193054768</v>
      </c>
      <c r="E48" s="131" t="s">
        <v>514</v>
      </c>
    </row>
    <row r="49" spans="1:5" ht="19.5" thickBot="1">
      <c r="A49" s="133" t="s">
        <v>666</v>
      </c>
      <c r="B49" s="145">
        <f>C16/1.4/C17*B46</f>
        <v>0.14376322701406632</v>
      </c>
      <c r="C49" s="133" t="s">
        <v>514</v>
      </c>
      <c r="D49" s="145">
        <f>C16/1.4/C17*D46</f>
        <v>0.17456963280279481</v>
      </c>
      <c r="E49" s="133" t="s">
        <v>514</v>
      </c>
    </row>
    <row r="50" spans="1:5" ht="21" thickBot="1">
      <c r="A50" s="141" t="s">
        <v>673</v>
      </c>
      <c r="B50" s="148">
        <f>MAX(B47:B49)</f>
        <v>0.18819913354568679</v>
      </c>
      <c r="C50" s="133" t="s">
        <v>514</v>
      </c>
      <c r="D50" s="148">
        <f>MAX(D47:D49)</f>
        <v>0.2285275193054768</v>
      </c>
      <c r="E50" s="133" t="s">
        <v>514</v>
      </c>
    </row>
    <row r="51" spans="1:5" ht="16.5" thickBot="1">
      <c r="A51" s="142"/>
      <c r="B51" s="205" t="s">
        <v>671</v>
      </c>
      <c r="C51" s="206"/>
      <c r="D51" s="205" t="s">
        <v>672</v>
      </c>
      <c r="E51" s="206"/>
    </row>
  </sheetData>
  <mergeCells count="6">
    <mergeCell ref="B51:C51"/>
    <mergeCell ref="D51:E51"/>
    <mergeCell ref="C15:H15"/>
    <mergeCell ref="C14:H14"/>
    <mergeCell ref="B34:C34"/>
    <mergeCell ref="D34:E34"/>
  </mergeCells>
  <phoneticPr fontId="11" type="noConversion"/>
  <dataValidations disablePrompts="1" count="3">
    <dataValidation type="list" allowBlank="1" showInputMessage="1" showErrorMessage="1" sqref="D16">
      <formula1>$F$16:$F$19</formula1>
    </dataValidation>
    <dataValidation type="list" allowBlank="1" showInputMessage="1" showErrorMessage="1" sqref="C14:C15">
      <formula1>$J$15:$J$18</formula1>
    </dataValidation>
    <dataValidation type="list" allowBlank="1" showInputMessage="1" showErrorMessage="1" sqref="B19">
      <formula1>$J$20:$J$22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18" sqref="B18"/>
    </sheetView>
  </sheetViews>
  <sheetFormatPr defaultRowHeight="16.5"/>
  <cols>
    <col min="2" max="2" width="12.25" bestFit="1" customWidth="1"/>
    <col min="3" max="3" width="10.5" bestFit="1" customWidth="1"/>
    <col min="4" max="4" width="15.125" bestFit="1" customWidth="1"/>
    <col min="10" max="10" width="11.25" bestFit="1" customWidth="1"/>
  </cols>
  <sheetData>
    <row r="1" spans="1:10">
      <c r="A1" t="s">
        <v>789</v>
      </c>
      <c r="B1" t="s">
        <v>790</v>
      </c>
      <c r="C1" t="s">
        <v>791</v>
      </c>
      <c r="D1" t="s">
        <v>792</v>
      </c>
    </row>
    <row r="2" spans="1:10">
      <c r="A2" t="s">
        <v>732</v>
      </c>
      <c r="B2" t="s">
        <v>794</v>
      </c>
      <c r="C2" t="s">
        <v>795</v>
      </c>
      <c r="D2">
        <v>7</v>
      </c>
      <c r="I2">
        <f>H2-H3</f>
        <v>0</v>
      </c>
      <c r="J2">
        <f>I2/4*100</f>
        <v>0</v>
      </c>
    </row>
    <row r="3" spans="1:10">
      <c r="A3" t="s">
        <v>733</v>
      </c>
      <c r="B3" t="s">
        <v>796</v>
      </c>
      <c r="C3" t="s">
        <v>795</v>
      </c>
      <c r="D3">
        <v>7</v>
      </c>
      <c r="I3">
        <f>H3-H4</f>
        <v>0</v>
      </c>
      <c r="J3" s="172">
        <f>I3/4*100</f>
        <v>0</v>
      </c>
    </row>
    <row r="4" spans="1:10">
      <c r="A4" t="s">
        <v>735</v>
      </c>
      <c r="B4" t="s">
        <v>797</v>
      </c>
      <c r="C4" t="s">
        <v>795</v>
      </c>
      <c r="D4">
        <v>7</v>
      </c>
      <c r="I4">
        <f>H4-H5</f>
        <v>0</v>
      </c>
      <c r="J4" s="172">
        <f>I4/4*100</f>
        <v>0</v>
      </c>
    </row>
    <row r="5" spans="1:10">
      <c r="A5" t="s">
        <v>737</v>
      </c>
      <c r="B5" t="s">
        <v>798</v>
      </c>
      <c r="C5" t="s">
        <v>795</v>
      </c>
      <c r="D5">
        <v>7</v>
      </c>
      <c r="I5">
        <f>H5</f>
        <v>0</v>
      </c>
      <c r="J5" s="172">
        <f>I5/4*100</f>
        <v>0</v>
      </c>
    </row>
    <row r="8" spans="1:10">
      <c r="A8" t="s">
        <v>789</v>
      </c>
      <c r="B8" t="s">
        <v>790</v>
      </c>
      <c r="C8" t="s">
        <v>791</v>
      </c>
      <c r="D8" t="s">
        <v>792</v>
      </c>
      <c r="I8" t="s">
        <v>793</v>
      </c>
    </row>
    <row r="9" spans="1:10">
      <c r="A9" t="s">
        <v>732</v>
      </c>
      <c r="B9" t="s">
        <v>801</v>
      </c>
      <c r="C9" t="s">
        <v>795</v>
      </c>
      <c r="D9">
        <v>7</v>
      </c>
    </row>
    <row r="10" spans="1:10">
      <c r="A10" t="s">
        <v>732</v>
      </c>
      <c r="B10" t="s">
        <v>802</v>
      </c>
      <c r="C10" t="s">
        <v>795</v>
      </c>
      <c r="D10">
        <v>1</v>
      </c>
      <c r="I10">
        <v>5.6400000000000005E-4</v>
      </c>
    </row>
    <row r="11" spans="1:10">
      <c r="A11" t="s">
        <v>733</v>
      </c>
      <c r="B11" t="s">
        <v>801</v>
      </c>
      <c r="C11" t="s">
        <v>795</v>
      </c>
      <c r="D11">
        <v>7</v>
      </c>
    </row>
    <row r="12" spans="1:10">
      <c r="A12" t="s">
        <v>733</v>
      </c>
      <c r="B12" t="s">
        <v>802</v>
      </c>
      <c r="C12" t="s">
        <v>795</v>
      </c>
      <c r="D12">
        <v>1</v>
      </c>
      <c r="I12">
        <v>5.5800000000000001E-4</v>
      </c>
    </row>
    <row r="13" spans="1:10">
      <c r="A13" t="s">
        <v>735</v>
      </c>
      <c r="B13" t="s">
        <v>801</v>
      </c>
      <c r="C13" t="s">
        <v>795</v>
      </c>
      <c r="D13">
        <v>127</v>
      </c>
    </row>
    <row r="14" spans="1:10">
      <c r="A14" t="s">
        <v>735</v>
      </c>
      <c r="B14" t="s">
        <v>802</v>
      </c>
      <c r="C14" t="s">
        <v>795</v>
      </c>
      <c r="D14">
        <v>7</v>
      </c>
      <c r="I14">
        <v>3.8299999999999999E-4</v>
      </c>
    </row>
    <row r="15" spans="1:10">
      <c r="A15" t="s">
        <v>737</v>
      </c>
      <c r="B15" t="s">
        <v>801</v>
      </c>
      <c r="C15" t="s">
        <v>795</v>
      </c>
      <c r="D15">
        <v>7</v>
      </c>
    </row>
    <row r="16" spans="1:10">
      <c r="A16" t="s">
        <v>737</v>
      </c>
      <c r="B16" t="s">
        <v>802</v>
      </c>
      <c r="C16" t="s">
        <v>795</v>
      </c>
      <c r="D16">
        <v>7</v>
      </c>
      <c r="I16">
        <v>1.7000000000000001E-4</v>
      </c>
    </row>
    <row r="20" spans="1:4">
      <c r="A20" s="175" t="s">
        <v>789</v>
      </c>
      <c r="B20" s="175" t="s">
        <v>803</v>
      </c>
      <c r="C20" s="175" t="s">
        <v>804</v>
      </c>
      <c r="D20" s="175" t="s">
        <v>812</v>
      </c>
    </row>
    <row r="21" spans="1:4">
      <c r="A21" s="252" t="s">
        <v>732</v>
      </c>
      <c r="B21" s="175" t="s">
        <v>805</v>
      </c>
      <c r="C21" s="175" t="s">
        <v>806</v>
      </c>
      <c r="D21" s="175">
        <v>11.843</v>
      </c>
    </row>
    <row r="22" spans="1:4">
      <c r="A22" s="252"/>
      <c r="B22" s="175" t="s">
        <v>807</v>
      </c>
      <c r="C22" s="175" t="s">
        <v>806</v>
      </c>
      <c r="D22" s="175">
        <v>19.744</v>
      </c>
    </row>
    <row r="23" spans="1:4">
      <c r="A23" s="252"/>
      <c r="B23" s="175" t="s">
        <v>808</v>
      </c>
      <c r="C23" s="175" t="s">
        <v>806</v>
      </c>
      <c r="D23" s="175">
        <v>2.7879999999999998</v>
      </c>
    </row>
    <row r="24" spans="1:4">
      <c r="A24" s="252" t="s">
        <v>733</v>
      </c>
      <c r="B24" s="175" t="s">
        <v>805</v>
      </c>
      <c r="C24" s="175" t="s">
        <v>806</v>
      </c>
      <c r="D24" s="175">
        <v>11.843</v>
      </c>
    </row>
    <row r="25" spans="1:4">
      <c r="A25" s="252"/>
      <c r="B25" s="175" t="s">
        <v>807</v>
      </c>
      <c r="C25" s="175" t="s">
        <v>806</v>
      </c>
      <c r="D25" s="175">
        <v>19.744</v>
      </c>
    </row>
    <row r="26" spans="1:4">
      <c r="A26" s="252"/>
      <c r="B26" s="175" t="s">
        <v>808</v>
      </c>
      <c r="C26" s="175" t="s">
        <v>806</v>
      </c>
      <c r="D26" s="175">
        <v>3.9430000000000001</v>
      </c>
    </row>
    <row r="27" spans="1:4">
      <c r="A27" s="252" t="s">
        <v>735</v>
      </c>
      <c r="B27" s="175" t="s">
        <v>805</v>
      </c>
      <c r="C27" s="175" t="s">
        <v>806</v>
      </c>
      <c r="D27" s="175">
        <v>22.751000000000001</v>
      </c>
    </row>
    <row r="28" spans="1:4">
      <c r="A28" s="252"/>
      <c r="B28" s="175" t="s">
        <v>807</v>
      </c>
      <c r="C28" s="175" t="s">
        <v>806</v>
      </c>
      <c r="D28" s="175">
        <v>21.329000000000001</v>
      </c>
    </row>
    <row r="29" spans="1:4">
      <c r="A29" s="252"/>
      <c r="B29" s="175" t="s">
        <v>808</v>
      </c>
      <c r="C29" s="175" t="s">
        <v>806</v>
      </c>
      <c r="D29" s="175">
        <v>4.1829999999999998</v>
      </c>
    </row>
    <row r="30" spans="1:4">
      <c r="A30" s="252" t="s">
        <v>737</v>
      </c>
      <c r="B30" s="175" t="s">
        <v>805</v>
      </c>
      <c r="C30" s="175" t="s">
        <v>806</v>
      </c>
      <c r="D30" s="175">
        <v>28.439</v>
      </c>
    </row>
    <row r="31" spans="1:4">
      <c r="A31" s="252"/>
      <c r="B31" s="175" t="s">
        <v>807</v>
      </c>
      <c r="C31" s="175" t="s">
        <v>806</v>
      </c>
      <c r="D31" s="175">
        <v>21.329000000000001</v>
      </c>
    </row>
    <row r="32" spans="1:4">
      <c r="A32" s="252"/>
      <c r="B32" s="175" t="s">
        <v>808</v>
      </c>
      <c r="C32" s="175" t="s">
        <v>806</v>
      </c>
      <c r="D32" s="175">
        <v>4.7030000000000003</v>
      </c>
    </row>
    <row r="33" spans="1:4">
      <c r="A33" s="252" t="s">
        <v>809</v>
      </c>
      <c r="B33" s="175" t="s">
        <v>805</v>
      </c>
      <c r="C33" s="175" t="s">
        <v>806</v>
      </c>
      <c r="D33" s="175">
        <v>74.876000000000005</v>
      </c>
    </row>
    <row r="34" spans="1:4">
      <c r="A34" s="252"/>
      <c r="B34" s="175" t="s">
        <v>807</v>
      </c>
      <c r="C34" s="175" t="s">
        <v>806</v>
      </c>
      <c r="D34" s="175">
        <v>82.147000000000006</v>
      </c>
    </row>
    <row r="35" spans="1:4">
      <c r="A35" s="252"/>
      <c r="B35" s="175" t="s">
        <v>808</v>
      </c>
      <c r="C35" s="175" t="s">
        <v>806</v>
      </c>
      <c r="D35" s="175">
        <v>15.617000000000001</v>
      </c>
    </row>
    <row r="36" spans="1:4">
      <c r="A36" s="175" t="s">
        <v>810</v>
      </c>
      <c r="B36" s="175" t="s">
        <v>811</v>
      </c>
      <c r="C36" s="175" t="s">
        <v>811</v>
      </c>
      <c r="D36" s="175">
        <v>172.64099999999999</v>
      </c>
    </row>
  </sheetData>
  <mergeCells count="5">
    <mergeCell ref="A21:A23"/>
    <mergeCell ref="A24:A26"/>
    <mergeCell ref="A27:A29"/>
    <mergeCell ref="A30:A32"/>
    <mergeCell ref="A33:A35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49" workbookViewId="0">
      <selection activeCell="D57" sqref="D57"/>
    </sheetView>
  </sheetViews>
  <sheetFormatPr defaultRowHeight="16.5"/>
  <sheetData>
    <row r="1" spans="1:9">
      <c r="A1" t="s">
        <v>789</v>
      </c>
      <c r="B1" t="s">
        <v>790</v>
      </c>
      <c r="C1" t="s">
        <v>791</v>
      </c>
      <c r="D1" t="s">
        <v>792</v>
      </c>
      <c r="E1" t="s">
        <v>854</v>
      </c>
      <c r="F1" t="s">
        <v>855</v>
      </c>
      <c r="G1" t="s">
        <v>856</v>
      </c>
      <c r="H1" t="s">
        <v>857</v>
      </c>
      <c r="I1" t="s">
        <v>793</v>
      </c>
    </row>
    <row r="2" spans="1:9">
      <c r="A2" t="s">
        <v>869</v>
      </c>
      <c r="B2" t="s">
        <v>871</v>
      </c>
      <c r="C2" t="s">
        <v>865</v>
      </c>
      <c r="D2">
        <v>2</v>
      </c>
      <c r="E2">
        <v>3800</v>
      </c>
      <c r="F2">
        <v>0</v>
      </c>
      <c r="G2">
        <v>2000</v>
      </c>
      <c r="I2">
        <v>1.8100000000000001E-4</v>
      </c>
    </row>
    <row r="3" spans="1:9">
      <c r="A3" t="s">
        <v>869</v>
      </c>
      <c r="B3" t="s">
        <v>871</v>
      </c>
      <c r="C3" t="s">
        <v>862</v>
      </c>
      <c r="D3">
        <v>2</v>
      </c>
      <c r="E3">
        <v>3800</v>
      </c>
      <c r="F3">
        <v>0</v>
      </c>
      <c r="G3">
        <v>2000</v>
      </c>
      <c r="I3">
        <v>1.8100000000000001E-4</v>
      </c>
    </row>
    <row r="4" spans="1:9">
      <c r="A4" t="s">
        <v>858</v>
      </c>
      <c r="B4" t="s">
        <v>859</v>
      </c>
      <c r="C4" t="s">
        <v>865</v>
      </c>
      <c r="D4">
        <v>5</v>
      </c>
      <c r="E4">
        <v>2800</v>
      </c>
      <c r="F4">
        <v>0</v>
      </c>
      <c r="G4">
        <v>2400</v>
      </c>
      <c r="H4">
        <v>2.9889999999999999E-3</v>
      </c>
    </row>
    <row r="5" spans="1:9">
      <c r="A5" t="s">
        <v>869</v>
      </c>
      <c r="B5" t="s">
        <v>870</v>
      </c>
      <c r="C5" t="s">
        <v>865</v>
      </c>
      <c r="D5">
        <v>5</v>
      </c>
      <c r="E5">
        <v>2800</v>
      </c>
      <c r="F5">
        <v>0</v>
      </c>
      <c r="G5">
        <v>2000</v>
      </c>
      <c r="H5">
        <v>3.852E-3</v>
      </c>
    </row>
    <row r="6" spans="1:9">
      <c r="A6" t="s">
        <v>872</v>
      </c>
      <c r="B6" t="s">
        <v>873</v>
      </c>
      <c r="C6" t="s">
        <v>865</v>
      </c>
      <c r="D6">
        <v>5</v>
      </c>
      <c r="E6">
        <v>2800</v>
      </c>
      <c r="F6">
        <v>0</v>
      </c>
      <c r="G6">
        <v>1600</v>
      </c>
      <c r="H6">
        <v>4.4900000000000001E-3</v>
      </c>
    </row>
    <row r="7" spans="1:9">
      <c r="A7" t="s">
        <v>875</v>
      </c>
      <c r="B7" t="s">
        <v>876</v>
      </c>
      <c r="C7" t="s">
        <v>865</v>
      </c>
      <c r="D7">
        <v>5</v>
      </c>
      <c r="E7">
        <v>2800</v>
      </c>
      <c r="F7">
        <v>0</v>
      </c>
      <c r="G7">
        <v>1200</v>
      </c>
      <c r="H7">
        <v>4.6449999999999998E-3</v>
      </c>
    </row>
    <row r="8" spans="1:9">
      <c r="A8" t="s">
        <v>878</v>
      </c>
      <c r="B8" t="s">
        <v>879</v>
      </c>
      <c r="C8" t="s">
        <v>865</v>
      </c>
      <c r="D8">
        <v>5</v>
      </c>
      <c r="E8">
        <v>2800</v>
      </c>
      <c r="F8">
        <v>0</v>
      </c>
      <c r="G8">
        <v>800</v>
      </c>
      <c r="H8">
        <v>4.0039999999999997E-3</v>
      </c>
    </row>
    <row r="9" spans="1:9">
      <c r="A9" t="s">
        <v>881</v>
      </c>
      <c r="B9" t="s">
        <v>882</v>
      </c>
      <c r="C9" t="s">
        <v>865</v>
      </c>
      <c r="D9">
        <v>5</v>
      </c>
      <c r="E9">
        <v>2800</v>
      </c>
      <c r="F9">
        <v>0</v>
      </c>
      <c r="G9">
        <v>400</v>
      </c>
      <c r="H9">
        <v>2.0230000000000001E-3</v>
      </c>
    </row>
    <row r="10" spans="1:9">
      <c r="A10" t="s">
        <v>858</v>
      </c>
      <c r="B10" t="s">
        <v>859</v>
      </c>
      <c r="C10" t="s">
        <v>867</v>
      </c>
      <c r="D10">
        <v>5</v>
      </c>
      <c r="E10">
        <v>2800</v>
      </c>
      <c r="F10">
        <v>0</v>
      </c>
      <c r="G10">
        <v>2400</v>
      </c>
      <c r="H10">
        <v>1.8100000000000001E-4</v>
      </c>
    </row>
    <row r="11" spans="1:9">
      <c r="A11" t="s">
        <v>869</v>
      </c>
      <c r="B11" t="s">
        <v>870</v>
      </c>
      <c r="C11" t="s">
        <v>867</v>
      </c>
      <c r="D11">
        <v>5</v>
      </c>
      <c r="E11">
        <v>2800</v>
      </c>
      <c r="F11">
        <v>0</v>
      </c>
      <c r="G11">
        <v>2000</v>
      </c>
      <c r="H11">
        <v>2.1800000000000001E-4</v>
      </c>
    </row>
    <row r="12" spans="1:9">
      <c r="A12" t="s">
        <v>872</v>
      </c>
      <c r="B12" t="s">
        <v>873</v>
      </c>
      <c r="C12" t="s">
        <v>867</v>
      </c>
      <c r="D12">
        <v>5</v>
      </c>
      <c r="E12">
        <v>2800</v>
      </c>
      <c r="F12">
        <v>0</v>
      </c>
      <c r="G12">
        <v>1600</v>
      </c>
      <c r="H12">
        <v>2.43E-4</v>
      </c>
    </row>
    <row r="13" spans="1:9">
      <c r="A13" t="s">
        <v>875</v>
      </c>
      <c r="B13" t="s">
        <v>876</v>
      </c>
      <c r="C13" t="s">
        <v>867</v>
      </c>
      <c r="D13">
        <v>5</v>
      </c>
      <c r="E13">
        <v>2800</v>
      </c>
      <c r="F13">
        <v>0</v>
      </c>
      <c r="G13">
        <v>1200</v>
      </c>
      <c r="H13">
        <v>2.4000000000000001E-4</v>
      </c>
    </row>
    <row r="14" spans="1:9">
      <c r="A14" t="s">
        <v>878</v>
      </c>
      <c r="B14" t="s">
        <v>879</v>
      </c>
      <c r="C14" t="s">
        <v>867</v>
      </c>
      <c r="D14">
        <v>5</v>
      </c>
      <c r="E14">
        <v>2800</v>
      </c>
      <c r="F14">
        <v>0</v>
      </c>
      <c r="G14">
        <v>800</v>
      </c>
      <c r="H14">
        <v>1.92E-4</v>
      </c>
    </row>
    <row r="15" spans="1:9">
      <c r="A15" t="s">
        <v>881</v>
      </c>
      <c r="B15" t="s">
        <v>882</v>
      </c>
      <c r="C15" t="s">
        <v>867</v>
      </c>
      <c r="D15">
        <v>5</v>
      </c>
      <c r="E15">
        <v>2800</v>
      </c>
      <c r="F15">
        <v>0</v>
      </c>
      <c r="G15">
        <v>400</v>
      </c>
      <c r="H15">
        <v>1E-4</v>
      </c>
    </row>
    <row r="16" spans="1:9">
      <c r="A16" t="s">
        <v>858</v>
      </c>
      <c r="B16" t="s">
        <v>859</v>
      </c>
      <c r="C16" t="s">
        <v>868</v>
      </c>
      <c r="D16">
        <v>5</v>
      </c>
      <c r="E16">
        <v>2800</v>
      </c>
      <c r="F16">
        <v>0</v>
      </c>
      <c r="G16">
        <v>2400</v>
      </c>
      <c r="H16">
        <v>1.8100000000000001E-4</v>
      </c>
    </row>
    <row r="17" spans="1:8">
      <c r="A17" t="s">
        <v>869</v>
      </c>
      <c r="B17" t="s">
        <v>870</v>
      </c>
      <c r="C17" t="s">
        <v>868</v>
      </c>
      <c r="D17">
        <v>5</v>
      </c>
      <c r="E17">
        <v>2800</v>
      </c>
      <c r="F17">
        <v>0</v>
      </c>
      <c r="G17">
        <v>2000</v>
      </c>
      <c r="H17">
        <v>2.1800000000000001E-4</v>
      </c>
    </row>
    <row r="18" spans="1:8">
      <c r="A18" t="s">
        <v>872</v>
      </c>
      <c r="B18" t="s">
        <v>873</v>
      </c>
      <c r="C18" t="s">
        <v>868</v>
      </c>
      <c r="D18">
        <v>5</v>
      </c>
      <c r="E18">
        <v>2800</v>
      </c>
      <c r="F18">
        <v>0</v>
      </c>
      <c r="G18">
        <v>1600</v>
      </c>
      <c r="H18">
        <v>2.43E-4</v>
      </c>
    </row>
    <row r="19" spans="1:8">
      <c r="A19" t="s">
        <v>875</v>
      </c>
      <c r="B19" t="s">
        <v>876</v>
      </c>
      <c r="C19" t="s">
        <v>868</v>
      </c>
      <c r="D19">
        <v>5</v>
      </c>
      <c r="E19">
        <v>2800</v>
      </c>
      <c r="F19">
        <v>0</v>
      </c>
      <c r="G19">
        <v>1200</v>
      </c>
      <c r="H19">
        <v>2.4000000000000001E-4</v>
      </c>
    </row>
    <row r="20" spans="1:8">
      <c r="A20" t="s">
        <v>878</v>
      </c>
      <c r="B20" t="s">
        <v>879</v>
      </c>
      <c r="C20" t="s">
        <v>868</v>
      </c>
      <c r="D20">
        <v>5</v>
      </c>
      <c r="E20">
        <v>2800</v>
      </c>
      <c r="F20">
        <v>0</v>
      </c>
      <c r="G20">
        <v>800</v>
      </c>
      <c r="H20">
        <v>1.92E-4</v>
      </c>
    </row>
    <row r="21" spans="1:8">
      <c r="A21" t="s">
        <v>881</v>
      </c>
      <c r="B21" t="s">
        <v>882</v>
      </c>
      <c r="C21" t="s">
        <v>868</v>
      </c>
      <c r="D21">
        <v>5</v>
      </c>
      <c r="E21">
        <v>2800</v>
      </c>
      <c r="F21">
        <v>0</v>
      </c>
      <c r="G21">
        <v>400</v>
      </c>
      <c r="H21">
        <v>1E-4</v>
      </c>
    </row>
    <row r="22" spans="1:8">
      <c r="A22" t="s">
        <v>858</v>
      </c>
      <c r="B22" t="s">
        <v>859</v>
      </c>
      <c r="C22" t="s">
        <v>862</v>
      </c>
      <c r="D22">
        <v>5</v>
      </c>
      <c r="E22">
        <v>2800</v>
      </c>
      <c r="F22">
        <v>0</v>
      </c>
      <c r="G22">
        <v>2400</v>
      </c>
      <c r="H22">
        <v>2.9889999999999999E-3</v>
      </c>
    </row>
    <row r="23" spans="1:8">
      <c r="A23" t="s">
        <v>869</v>
      </c>
      <c r="B23" t="s">
        <v>870</v>
      </c>
      <c r="C23" t="s">
        <v>862</v>
      </c>
      <c r="D23">
        <v>5</v>
      </c>
      <c r="E23">
        <v>2800</v>
      </c>
      <c r="F23">
        <v>0</v>
      </c>
      <c r="G23">
        <v>2000</v>
      </c>
      <c r="H23">
        <v>3.852E-3</v>
      </c>
    </row>
    <row r="24" spans="1:8">
      <c r="A24" t="s">
        <v>872</v>
      </c>
      <c r="B24" t="s">
        <v>873</v>
      </c>
      <c r="C24" t="s">
        <v>862</v>
      </c>
      <c r="D24">
        <v>5</v>
      </c>
      <c r="E24">
        <v>2800</v>
      </c>
      <c r="F24">
        <v>0</v>
      </c>
      <c r="G24">
        <v>1600</v>
      </c>
      <c r="H24">
        <v>4.4900000000000001E-3</v>
      </c>
    </row>
    <row r="25" spans="1:8">
      <c r="A25" t="s">
        <v>875</v>
      </c>
      <c r="B25" t="s">
        <v>876</v>
      </c>
      <c r="C25" t="s">
        <v>862</v>
      </c>
      <c r="D25">
        <v>5</v>
      </c>
      <c r="E25">
        <v>2800</v>
      </c>
      <c r="F25">
        <v>0</v>
      </c>
      <c r="G25">
        <v>1200</v>
      </c>
      <c r="H25">
        <v>4.6449999999999998E-3</v>
      </c>
    </row>
    <row r="26" spans="1:8">
      <c r="A26" t="s">
        <v>878</v>
      </c>
      <c r="B26" t="s">
        <v>879</v>
      </c>
      <c r="C26" t="s">
        <v>862</v>
      </c>
      <c r="D26">
        <v>5</v>
      </c>
      <c r="E26">
        <v>2800</v>
      </c>
      <c r="F26">
        <v>0</v>
      </c>
      <c r="G26">
        <v>800</v>
      </c>
      <c r="H26">
        <v>4.0039999999999997E-3</v>
      </c>
    </row>
    <row r="27" spans="1:8">
      <c r="A27" t="s">
        <v>881</v>
      </c>
      <c r="B27" t="s">
        <v>882</v>
      </c>
      <c r="C27" t="s">
        <v>862</v>
      </c>
      <c r="D27">
        <v>5</v>
      </c>
      <c r="E27">
        <v>2800</v>
      </c>
      <c r="F27">
        <v>0</v>
      </c>
      <c r="G27">
        <v>400</v>
      </c>
      <c r="H27">
        <v>2.0230000000000001E-3</v>
      </c>
    </row>
    <row r="28" spans="1:8">
      <c r="A28" t="s">
        <v>858</v>
      </c>
      <c r="B28" t="s">
        <v>859</v>
      </c>
      <c r="C28" t="s">
        <v>863</v>
      </c>
      <c r="D28">
        <v>5</v>
      </c>
      <c r="E28">
        <v>2800</v>
      </c>
      <c r="F28">
        <v>0</v>
      </c>
      <c r="G28">
        <v>2400</v>
      </c>
      <c r="H28">
        <v>1.8100000000000001E-4</v>
      </c>
    </row>
    <row r="29" spans="1:8">
      <c r="A29" t="s">
        <v>869</v>
      </c>
      <c r="B29" t="s">
        <v>870</v>
      </c>
      <c r="C29" t="s">
        <v>863</v>
      </c>
      <c r="D29">
        <v>5</v>
      </c>
      <c r="E29">
        <v>2800</v>
      </c>
      <c r="F29">
        <v>0</v>
      </c>
      <c r="G29">
        <v>2000</v>
      </c>
      <c r="H29">
        <v>2.1800000000000001E-4</v>
      </c>
    </row>
    <row r="30" spans="1:8">
      <c r="A30" t="s">
        <v>872</v>
      </c>
      <c r="B30" t="s">
        <v>873</v>
      </c>
      <c r="C30" t="s">
        <v>863</v>
      </c>
      <c r="D30">
        <v>5</v>
      </c>
      <c r="E30">
        <v>2800</v>
      </c>
      <c r="F30">
        <v>0</v>
      </c>
      <c r="G30">
        <v>1600</v>
      </c>
      <c r="H30">
        <v>2.43E-4</v>
      </c>
    </row>
    <row r="31" spans="1:8">
      <c r="A31" t="s">
        <v>875</v>
      </c>
      <c r="B31" t="s">
        <v>876</v>
      </c>
      <c r="C31" t="s">
        <v>863</v>
      </c>
      <c r="D31">
        <v>5</v>
      </c>
      <c r="E31">
        <v>2800</v>
      </c>
      <c r="F31">
        <v>0</v>
      </c>
      <c r="G31">
        <v>1200</v>
      </c>
      <c r="H31">
        <v>2.4000000000000001E-4</v>
      </c>
    </row>
    <row r="32" spans="1:8">
      <c r="A32" t="s">
        <v>878</v>
      </c>
      <c r="B32" t="s">
        <v>879</v>
      </c>
      <c r="C32" t="s">
        <v>863</v>
      </c>
      <c r="D32">
        <v>5</v>
      </c>
      <c r="E32">
        <v>2800</v>
      </c>
      <c r="F32">
        <v>0</v>
      </c>
      <c r="G32">
        <v>800</v>
      </c>
      <c r="H32">
        <v>1.92E-4</v>
      </c>
    </row>
    <row r="33" spans="1:9">
      <c r="A33" t="s">
        <v>881</v>
      </c>
      <c r="B33" t="s">
        <v>882</v>
      </c>
      <c r="C33" t="s">
        <v>863</v>
      </c>
      <c r="D33">
        <v>5</v>
      </c>
      <c r="E33">
        <v>2800</v>
      </c>
      <c r="F33">
        <v>0</v>
      </c>
      <c r="G33">
        <v>400</v>
      </c>
      <c r="H33">
        <v>1E-4</v>
      </c>
    </row>
    <row r="34" spans="1:9">
      <c r="A34" t="s">
        <v>858</v>
      </c>
      <c r="B34" t="s">
        <v>859</v>
      </c>
      <c r="C34" t="s">
        <v>864</v>
      </c>
      <c r="D34">
        <v>5</v>
      </c>
      <c r="E34">
        <v>2800</v>
      </c>
      <c r="F34">
        <v>0</v>
      </c>
      <c r="G34">
        <v>2400</v>
      </c>
      <c r="H34">
        <v>1.8100000000000001E-4</v>
      </c>
    </row>
    <row r="35" spans="1:9">
      <c r="A35" t="s">
        <v>869</v>
      </c>
      <c r="B35" t="s">
        <v>870</v>
      </c>
      <c r="C35" t="s">
        <v>864</v>
      </c>
      <c r="D35">
        <v>5</v>
      </c>
      <c r="E35">
        <v>2800</v>
      </c>
      <c r="F35">
        <v>0</v>
      </c>
      <c r="G35">
        <v>2000</v>
      </c>
      <c r="H35">
        <v>2.1800000000000001E-4</v>
      </c>
    </row>
    <row r="36" spans="1:9">
      <c r="A36" t="s">
        <v>872</v>
      </c>
      <c r="B36" t="s">
        <v>873</v>
      </c>
      <c r="C36" t="s">
        <v>864</v>
      </c>
      <c r="D36">
        <v>5</v>
      </c>
      <c r="E36">
        <v>2800</v>
      </c>
      <c r="F36">
        <v>0</v>
      </c>
      <c r="G36">
        <v>1600</v>
      </c>
      <c r="H36">
        <v>2.43E-4</v>
      </c>
    </row>
    <row r="37" spans="1:9">
      <c r="A37" t="s">
        <v>875</v>
      </c>
      <c r="B37" t="s">
        <v>876</v>
      </c>
      <c r="C37" t="s">
        <v>864</v>
      </c>
      <c r="D37">
        <v>5</v>
      </c>
      <c r="E37">
        <v>2800</v>
      </c>
      <c r="F37">
        <v>0</v>
      </c>
      <c r="G37">
        <v>1200</v>
      </c>
      <c r="H37">
        <v>2.4000000000000001E-4</v>
      </c>
    </row>
    <row r="38" spans="1:9">
      <c r="A38" t="s">
        <v>878</v>
      </c>
      <c r="B38" t="s">
        <v>879</v>
      </c>
      <c r="C38" t="s">
        <v>864</v>
      </c>
      <c r="D38">
        <v>5</v>
      </c>
      <c r="E38">
        <v>2800</v>
      </c>
      <c r="F38">
        <v>0</v>
      </c>
      <c r="G38">
        <v>800</v>
      </c>
      <c r="H38">
        <v>1.92E-4</v>
      </c>
    </row>
    <row r="39" spans="1:9">
      <c r="A39" t="s">
        <v>881</v>
      </c>
      <c r="B39" t="s">
        <v>882</v>
      </c>
      <c r="C39" t="s">
        <v>864</v>
      </c>
      <c r="D39">
        <v>5</v>
      </c>
      <c r="E39">
        <v>2800</v>
      </c>
      <c r="F39">
        <v>0</v>
      </c>
      <c r="G39">
        <v>400</v>
      </c>
      <c r="H39">
        <v>1E-4</v>
      </c>
    </row>
    <row r="40" spans="1:9">
      <c r="A40" t="s">
        <v>858</v>
      </c>
      <c r="B40" t="s">
        <v>859</v>
      </c>
      <c r="C40" t="s">
        <v>866</v>
      </c>
      <c r="D40">
        <v>10</v>
      </c>
      <c r="E40">
        <v>3800</v>
      </c>
      <c r="F40">
        <v>3400</v>
      </c>
      <c r="G40">
        <v>2400</v>
      </c>
      <c r="H40">
        <v>2.9889999999999999E-3</v>
      </c>
    </row>
    <row r="41" spans="1:9">
      <c r="A41" t="s">
        <v>869</v>
      </c>
      <c r="B41" t="s">
        <v>870</v>
      </c>
      <c r="C41" t="s">
        <v>866</v>
      </c>
      <c r="D41">
        <v>10</v>
      </c>
      <c r="E41">
        <v>3800</v>
      </c>
      <c r="F41">
        <v>3400</v>
      </c>
      <c r="G41">
        <v>2000</v>
      </c>
      <c r="H41">
        <v>3.852E-3</v>
      </c>
    </row>
    <row r="42" spans="1:9">
      <c r="A42" t="s">
        <v>872</v>
      </c>
      <c r="B42" t="s">
        <v>874</v>
      </c>
      <c r="C42" t="s">
        <v>866</v>
      </c>
      <c r="D42">
        <v>10</v>
      </c>
      <c r="E42">
        <v>3800</v>
      </c>
      <c r="F42">
        <v>3400</v>
      </c>
      <c r="G42">
        <v>1600</v>
      </c>
      <c r="I42">
        <v>2.0100000000000001E-4</v>
      </c>
    </row>
    <row r="43" spans="1:9">
      <c r="A43" t="s">
        <v>872</v>
      </c>
      <c r="B43" t="s">
        <v>873</v>
      </c>
      <c r="C43" t="s">
        <v>866</v>
      </c>
      <c r="D43">
        <v>10</v>
      </c>
      <c r="E43">
        <v>3800</v>
      </c>
      <c r="F43">
        <v>3400</v>
      </c>
      <c r="G43">
        <v>1600</v>
      </c>
      <c r="H43">
        <v>4.4900000000000001E-3</v>
      </c>
    </row>
    <row r="44" spans="1:9">
      <c r="A44" t="s">
        <v>875</v>
      </c>
      <c r="B44" t="s">
        <v>876</v>
      </c>
      <c r="C44" t="s">
        <v>866</v>
      </c>
      <c r="D44">
        <v>10</v>
      </c>
      <c r="E44">
        <v>3800</v>
      </c>
      <c r="F44">
        <v>3400</v>
      </c>
      <c r="G44">
        <v>1200</v>
      </c>
      <c r="H44">
        <v>4.6449999999999998E-3</v>
      </c>
    </row>
    <row r="45" spans="1:9">
      <c r="A45" t="s">
        <v>878</v>
      </c>
      <c r="B45" t="s">
        <v>879</v>
      </c>
      <c r="C45" t="s">
        <v>866</v>
      </c>
      <c r="D45">
        <v>10</v>
      </c>
      <c r="E45">
        <v>3800</v>
      </c>
      <c r="F45">
        <v>3400</v>
      </c>
      <c r="G45">
        <v>800</v>
      </c>
      <c r="H45">
        <v>4.0039999999999997E-3</v>
      </c>
    </row>
    <row r="46" spans="1:9">
      <c r="A46" t="s">
        <v>881</v>
      </c>
      <c r="B46" t="s">
        <v>882</v>
      </c>
      <c r="C46" t="s">
        <v>866</v>
      </c>
      <c r="D46">
        <v>10</v>
      </c>
      <c r="E46">
        <v>3800</v>
      </c>
      <c r="F46">
        <v>3400</v>
      </c>
      <c r="G46">
        <v>400</v>
      </c>
      <c r="H46">
        <v>2.0230000000000001E-3</v>
      </c>
    </row>
    <row r="47" spans="1:9">
      <c r="A47" t="s">
        <v>858</v>
      </c>
      <c r="B47" t="s">
        <v>859</v>
      </c>
      <c r="C47" t="s">
        <v>860</v>
      </c>
      <c r="D47">
        <v>10</v>
      </c>
      <c r="E47">
        <v>3800</v>
      </c>
      <c r="F47">
        <v>3400</v>
      </c>
      <c r="G47">
        <v>2400</v>
      </c>
      <c r="H47">
        <v>2.9889999999999999E-3</v>
      </c>
    </row>
    <row r="48" spans="1:9">
      <c r="A48" t="s">
        <v>869</v>
      </c>
      <c r="B48" t="s">
        <v>870</v>
      </c>
      <c r="C48" t="s">
        <v>860</v>
      </c>
      <c r="D48">
        <v>10</v>
      </c>
      <c r="E48">
        <v>3800</v>
      </c>
      <c r="F48">
        <v>3400</v>
      </c>
      <c r="G48">
        <v>2000</v>
      </c>
      <c r="H48">
        <v>3.852E-3</v>
      </c>
    </row>
    <row r="49" spans="1:9">
      <c r="A49" t="s">
        <v>872</v>
      </c>
      <c r="B49" t="s">
        <v>874</v>
      </c>
      <c r="C49" t="s">
        <v>860</v>
      </c>
      <c r="D49">
        <v>10</v>
      </c>
      <c r="E49">
        <v>3800</v>
      </c>
      <c r="F49">
        <v>3400</v>
      </c>
      <c r="G49">
        <v>1600</v>
      </c>
      <c r="I49">
        <v>2.0100000000000001E-4</v>
      </c>
    </row>
    <row r="50" spans="1:9">
      <c r="A50" t="s">
        <v>872</v>
      </c>
      <c r="B50" t="s">
        <v>873</v>
      </c>
      <c r="C50" t="s">
        <v>860</v>
      </c>
      <c r="D50">
        <v>10</v>
      </c>
      <c r="E50">
        <v>3800</v>
      </c>
      <c r="F50">
        <v>3400</v>
      </c>
      <c r="G50">
        <v>1600</v>
      </c>
      <c r="H50">
        <v>4.4900000000000001E-3</v>
      </c>
    </row>
    <row r="51" spans="1:9">
      <c r="A51" t="s">
        <v>875</v>
      </c>
      <c r="B51" t="s">
        <v>876</v>
      </c>
      <c r="C51" t="s">
        <v>860</v>
      </c>
      <c r="D51">
        <v>10</v>
      </c>
      <c r="E51">
        <v>3800</v>
      </c>
      <c r="F51">
        <v>3400</v>
      </c>
      <c r="G51">
        <v>1200</v>
      </c>
      <c r="H51">
        <v>4.6449999999999998E-3</v>
      </c>
    </row>
    <row r="52" spans="1:9">
      <c r="A52" t="s">
        <v>878</v>
      </c>
      <c r="B52" t="s">
        <v>879</v>
      </c>
      <c r="C52" t="s">
        <v>860</v>
      </c>
      <c r="D52">
        <v>10</v>
      </c>
      <c r="E52">
        <v>3800</v>
      </c>
      <c r="F52">
        <v>3400</v>
      </c>
      <c r="G52">
        <v>800</v>
      </c>
      <c r="H52">
        <v>4.0039999999999997E-3</v>
      </c>
    </row>
    <row r="53" spans="1:9">
      <c r="A53" t="s">
        <v>881</v>
      </c>
      <c r="B53" t="s">
        <v>882</v>
      </c>
      <c r="C53" t="s">
        <v>860</v>
      </c>
      <c r="D53">
        <v>10</v>
      </c>
      <c r="E53">
        <v>3800</v>
      </c>
      <c r="F53">
        <v>3400</v>
      </c>
      <c r="G53">
        <v>400</v>
      </c>
      <c r="H53">
        <v>2.0230000000000001E-3</v>
      </c>
    </row>
    <row r="54" spans="1:9">
      <c r="A54" t="s">
        <v>881</v>
      </c>
      <c r="B54" t="s">
        <v>883</v>
      </c>
      <c r="C54" t="s">
        <v>866</v>
      </c>
      <c r="D54">
        <v>959</v>
      </c>
      <c r="E54">
        <v>3800</v>
      </c>
      <c r="F54">
        <v>2200</v>
      </c>
      <c r="G54">
        <v>400</v>
      </c>
      <c r="I54">
        <v>8.2000000000000001E-5</v>
      </c>
    </row>
    <row r="55" spans="1:9">
      <c r="A55" t="s">
        <v>881</v>
      </c>
      <c r="B55" t="s">
        <v>883</v>
      </c>
      <c r="C55" t="s">
        <v>868</v>
      </c>
      <c r="D55">
        <v>959</v>
      </c>
      <c r="E55">
        <v>3800</v>
      </c>
      <c r="F55">
        <v>2200</v>
      </c>
      <c r="G55">
        <v>400</v>
      </c>
      <c r="I55">
        <v>1.0610000000000001E-3</v>
      </c>
    </row>
    <row r="56" spans="1:9">
      <c r="A56" t="s">
        <v>881</v>
      </c>
      <c r="B56" t="s">
        <v>883</v>
      </c>
      <c r="C56" t="s">
        <v>860</v>
      </c>
      <c r="D56">
        <v>959</v>
      </c>
      <c r="E56">
        <v>3800</v>
      </c>
      <c r="F56">
        <v>2200</v>
      </c>
      <c r="G56">
        <v>400</v>
      </c>
      <c r="I56">
        <v>8.2000000000000001E-5</v>
      </c>
    </row>
    <row r="57" spans="1:9">
      <c r="A57" t="s">
        <v>881</v>
      </c>
      <c r="B57" t="s">
        <v>883</v>
      </c>
      <c r="C57" t="s">
        <v>864</v>
      </c>
      <c r="D57">
        <v>959</v>
      </c>
      <c r="E57">
        <v>3800</v>
      </c>
      <c r="F57">
        <v>2200</v>
      </c>
      <c r="G57">
        <v>400</v>
      </c>
      <c r="I57">
        <v>1.0610000000000001E-3</v>
      </c>
    </row>
    <row r="58" spans="1:9">
      <c r="A58" t="s">
        <v>858</v>
      </c>
      <c r="B58" t="s">
        <v>861</v>
      </c>
      <c r="C58" t="s">
        <v>865</v>
      </c>
      <c r="D58">
        <v>962</v>
      </c>
      <c r="E58">
        <v>3800</v>
      </c>
      <c r="F58">
        <v>1700</v>
      </c>
      <c r="G58">
        <v>2400</v>
      </c>
      <c r="I58">
        <v>1.5100000000000001E-4</v>
      </c>
    </row>
    <row r="59" spans="1:9">
      <c r="A59" t="s">
        <v>872</v>
      </c>
      <c r="B59" t="s">
        <v>874</v>
      </c>
      <c r="C59" t="s">
        <v>865</v>
      </c>
      <c r="D59">
        <v>962</v>
      </c>
      <c r="E59">
        <v>3800</v>
      </c>
      <c r="F59">
        <v>1700</v>
      </c>
      <c r="G59">
        <v>1600</v>
      </c>
      <c r="I59">
        <v>2.0100000000000001E-4</v>
      </c>
    </row>
    <row r="60" spans="1:9">
      <c r="A60" t="s">
        <v>858</v>
      </c>
      <c r="B60" t="s">
        <v>861</v>
      </c>
      <c r="C60" t="s">
        <v>866</v>
      </c>
      <c r="D60">
        <v>962</v>
      </c>
      <c r="E60">
        <v>3800</v>
      </c>
      <c r="F60">
        <v>1700</v>
      </c>
      <c r="G60">
        <v>2400</v>
      </c>
      <c r="I60">
        <v>1.5100000000000001E-4</v>
      </c>
    </row>
    <row r="61" spans="1:9">
      <c r="A61" t="s">
        <v>869</v>
      </c>
      <c r="B61" t="s">
        <v>871</v>
      </c>
      <c r="C61" t="s">
        <v>866</v>
      </c>
      <c r="D61">
        <v>962</v>
      </c>
      <c r="E61">
        <v>3800</v>
      </c>
      <c r="F61">
        <v>1700</v>
      </c>
      <c r="G61">
        <v>2000</v>
      </c>
      <c r="I61">
        <v>1.8100000000000001E-4</v>
      </c>
    </row>
    <row r="62" spans="1:9">
      <c r="A62" t="s">
        <v>875</v>
      </c>
      <c r="B62" t="s">
        <v>877</v>
      </c>
      <c r="C62" t="s">
        <v>866</v>
      </c>
      <c r="D62">
        <v>962</v>
      </c>
      <c r="E62">
        <v>3800</v>
      </c>
      <c r="F62">
        <v>1700</v>
      </c>
      <c r="G62">
        <v>1200</v>
      </c>
      <c r="I62">
        <v>1.9799999999999999E-4</v>
      </c>
    </row>
    <row r="63" spans="1:9">
      <c r="A63" t="s">
        <v>878</v>
      </c>
      <c r="B63" t="s">
        <v>880</v>
      </c>
      <c r="C63" t="s">
        <v>866</v>
      </c>
      <c r="D63">
        <v>962</v>
      </c>
      <c r="E63">
        <v>3800</v>
      </c>
      <c r="F63">
        <v>1700</v>
      </c>
      <c r="G63">
        <v>800</v>
      </c>
      <c r="I63">
        <v>1.5899999999999999E-4</v>
      </c>
    </row>
    <row r="64" spans="1:9">
      <c r="A64" t="s">
        <v>858</v>
      </c>
      <c r="B64" t="s">
        <v>861</v>
      </c>
      <c r="C64" t="s">
        <v>868</v>
      </c>
      <c r="D64">
        <v>962</v>
      </c>
      <c r="E64">
        <v>3800</v>
      </c>
      <c r="F64">
        <v>1700</v>
      </c>
      <c r="G64">
        <v>2400</v>
      </c>
      <c r="I64">
        <v>2.349E-3</v>
      </c>
    </row>
    <row r="65" spans="1:9">
      <c r="A65" t="s">
        <v>869</v>
      </c>
      <c r="B65" t="s">
        <v>871</v>
      </c>
      <c r="C65" t="s">
        <v>868</v>
      </c>
      <c r="D65">
        <v>962</v>
      </c>
      <c r="E65">
        <v>3800</v>
      </c>
      <c r="F65">
        <v>1700</v>
      </c>
      <c r="G65">
        <v>2000</v>
      </c>
      <c r="I65">
        <v>2.774E-3</v>
      </c>
    </row>
    <row r="66" spans="1:9">
      <c r="A66" t="s">
        <v>872</v>
      </c>
      <c r="B66" t="s">
        <v>874</v>
      </c>
      <c r="C66" t="s">
        <v>868</v>
      </c>
      <c r="D66">
        <v>962</v>
      </c>
      <c r="E66">
        <v>3800</v>
      </c>
      <c r="F66">
        <v>1700</v>
      </c>
      <c r="G66">
        <v>1600</v>
      </c>
      <c r="I66">
        <v>3.0639999999999999E-3</v>
      </c>
    </row>
    <row r="67" spans="1:9">
      <c r="A67" t="s">
        <v>875</v>
      </c>
      <c r="B67" t="s">
        <v>877</v>
      </c>
      <c r="C67" t="s">
        <v>868</v>
      </c>
      <c r="D67">
        <v>962</v>
      </c>
      <c r="E67">
        <v>3800</v>
      </c>
      <c r="F67">
        <v>1700</v>
      </c>
      <c r="G67">
        <v>1200</v>
      </c>
      <c r="I67">
        <v>2.882E-3</v>
      </c>
    </row>
    <row r="68" spans="1:9">
      <c r="A68" t="s">
        <v>878</v>
      </c>
      <c r="B68" t="s">
        <v>880</v>
      </c>
      <c r="C68" t="s">
        <v>868</v>
      </c>
      <c r="D68">
        <v>962</v>
      </c>
      <c r="E68">
        <v>3800</v>
      </c>
      <c r="F68">
        <v>1700</v>
      </c>
      <c r="G68">
        <v>800</v>
      </c>
      <c r="I68">
        <v>1.9319999999999999E-3</v>
      </c>
    </row>
    <row r="69" spans="1:9">
      <c r="A69" t="s">
        <v>858</v>
      </c>
      <c r="B69" t="s">
        <v>861</v>
      </c>
      <c r="C69" t="s">
        <v>862</v>
      </c>
      <c r="D69">
        <v>962</v>
      </c>
      <c r="E69">
        <v>3800</v>
      </c>
      <c r="F69">
        <v>1700</v>
      </c>
      <c r="G69">
        <v>2400</v>
      </c>
      <c r="I69">
        <v>1.5100000000000001E-4</v>
      </c>
    </row>
    <row r="70" spans="1:9">
      <c r="A70" t="s">
        <v>872</v>
      </c>
      <c r="B70" t="s">
        <v>874</v>
      </c>
      <c r="C70" t="s">
        <v>862</v>
      </c>
      <c r="D70">
        <v>962</v>
      </c>
      <c r="E70">
        <v>3800</v>
      </c>
      <c r="F70">
        <v>1700</v>
      </c>
      <c r="G70">
        <v>1600</v>
      </c>
      <c r="I70">
        <v>2.0100000000000001E-4</v>
      </c>
    </row>
    <row r="71" spans="1:9">
      <c r="A71" t="s">
        <v>858</v>
      </c>
      <c r="B71" t="s">
        <v>861</v>
      </c>
      <c r="C71" t="s">
        <v>860</v>
      </c>
      <c r="D71">
        <v>962</v>
      </c>
      <c r="E71">
        <v>3800</v>
      </c>
      <c r="F71">
        <v>1700</v>
      </c>
      <c r="G71">
        <v>2400</v>
      </c>
      <c r="I71">
        <v>1.5100000000000001E-4</v>
      </c>
    </row>
    <row r="72" spans="1:9">
      <c r="A72" t="s">
        <v>869</v>
      </c>
      <c r="B72" t="s">
        <v>871</v>
      </c>
      <c r="C72" t="s">
        <v>860</v>
      </c>
      <c r="D72">
        <v>962</v>
      </c>
      <c r="E72">
        <v>3800</v>
      </c>
      <c r="F72">
        <v>1700</v>
      </c>
      <c r="G72">
        <v>2000</v>
      </c>
      <c r="I72">
        <v>1.8100000000000001E-4</v>
      </c>
    </row>
    <row r="73" spans="1:9">
      <c r="A73" t="s">
        <v>875</v>
      </c>
      <c r="B73" t="s">
        <v>877</v>
      </c>
      <c r="C73" t="s">
        <v>860</v>
      </c>
      <c r="D73">
        <v>962</v>
      </c>
      <c r="E73">
        <v>3800</v>
      </c>
      <c r="F73">
        <v>1700</v>
      </c>
      <c r="G73">
        <v>1200</v>
      </c>
      <c r="I73">
        <v>1.9799999999999999E-4</v>
      </c>
    </row>
    <row r="74" spans="1:9">
      <c r="A74" t="s">
        <v>878</v>
      </c>
      <c r="B74" t="s">
        <v>880</v>
      </c>
      <c r="C74" t="s">
        <v>860</v>
      </c>
      <c r="D74">
        <v>962</v>
      </c>
      <c r="E74">
        <v>3800</v>
      </c>
      <c r="F74">
        <v>1700</v>
      </c>
      <c r="G74">
        <v>800</v>
      </c>
      <c r="I74">
        <v>1.5899999999999999E-4</v>
      </c>
    </row>
    <row r="75" spans="1:9">
      <c r="A75" t="s">
        <v>858</v>
      </c>
      <c r="B75" t="s">
        <v>861</v>
      </c>
      <c r="C75" t="s">
        <v>864</v>
      </c>
      <c r="D75">
        <v>962</v>
      </c>
      <c r="E75">
        <v>3800</v>
      </c>
      <c r="F75">
        <v>1700</v>
      </c>
      <c r="G75">
        <v>2400</v>
      </c>
      <c r="I75">
        <v>2.349E-3</v>
      </c>
    </row>
    <row r="76" spans="1:9">
      <c r="A76" t="s">
        <v>869</v>
      </c>
      <c r="B76" t="s">
        <v>871</v>
      </c>
      <c r="C76" t="s">
        <v>864</v>
      </c>
      <c r="D76">
        <v>962</v>
      </c>
      <c r="E76">
        <v>3800</v>
      </c>
      <c r="F76">
        <v>1700</v>
      </c>
      <c r="G76">
        <v>2000</v>
      </c>
      <c r="I76">
        <v>2.774E-3</v>
      </c>
    </row>
    <row r="77" spans="1:9">
      <c r="A77" t="s">
        <v>872</v>
      </c>
      <c r="B77" t="s">
        <v>874</v>
      </c>
      <c r="C77" t="s">
        <v>864</v>
      </c>
      <c r="D77">
        <v>962</v>
      </c>
      <c r="E77">
        <v>3800</v>
      </c>
      <c r="F77">
        <v>1700</v>
      </c>
      <c r="G77">
        <v>1600</v>
      </c>
      <c r="I77">
        <v>3.0639999999999999E-3</v>
      </c>
    </row>
    <row r="78" spans="1:9">
      <c r="A78" t="s">
        <v>875</v>
      </c>
      <c r="B78" t="s">
        <v>877</v>
      </c>
      <c r="C78" t="s">
        <v>864</v>
      </c>
      <c r="D78">
        <v>962</v>
      </c>
      <c r="E78">
        <v>3800</v>
      </c>
      <c r="F78">
        <v>1700</v>
      </c>
      <c r="G78">
        <v>1200</v>
      </c>
      <c r="I78">
        <v>2.882E-3</v>
      </c>
    </row>
    <row r="79" spans="1:9">
      <c r="A79" t="s">
        <v>878</v>
      </c>
      <c r="B79" t="s">
        <v>880</v>
      </c>
      <c r="C79" t="s">
        <v>864</v>
      </c>
      <c r="D79">
        <v>962</v>
      </c>
      <c r="E79">
        <v>3800</v>
      </c>
      <c r="F79">
        <v>1700</v>
      </c>
      <c r="G79">
        <v>800</v>
      </c>
      <c r="I79">
        <v>1.9319999999999999E-3</v>
      </c>
    </row>
    <row r="80" spans="1:9">
      <c r="A80" t="s">
        <v>881</v>
      </c>
      <c r="B80" t="s">
        <v>883</v>
      </c>
      <c r="C80" t="s">
        <v>865</v>
      </c>
      <c r="D80">
        <v>964</v>
      </c>
      <c r="E80">
        <v>0</v>
      </c>
      <c r="F80">
        <v>2200</v>
      </c>
      <c r="G80">
        <v>400</v>
      </c>
      <c r="I80">
        <v>8.2000000000000001E-5</v>
      </c>
    </row>
    <row r="81" spans="1:9">
      <c r="A81" t="s">
        <v>881</v>
      </c>
      <c r="B81" t="s">
        <v>883</v>
      </c>
      <c r="C81" t="s">
        <v>867</v>
      </c>
      <c r="D81">
        <v>964</v>
      </c>
      <c r="E81">
        <v>0</v>
      </c>
      <c r="F81">
        <v>2200</v>
      </c>
      <c r="G81">
        <v>400</v>
      </c>
      <c r="I81">
        <v>1.0610000000000001E-3</v>
      </c>
    </row>
    <row r="82" spans="1:9">
      <c r="A82" t="s">
        <v>881</v>
      </c>
      <c r="B82" t="s">
        <v>883</v>
      </c>
      <c r="C82" t="s">
        <v>862</v>
      </c>
      <c r="D82">
        <v>964</v>
      </c>
      <c r="E82">
        <v>0</v>
      </c>
      <c r="F82">
        <v>2200</v>
      </c>
      <c r="G82">
        <v>400</v>
      </c>
      <c r="I82">
        <v>8.2000000000000001E-5</v>
      </c>
    </row>
    <row r="83" spans="1:9">
      <c r="A83" t="s">
        <v>881</v>
      </c>
      <c r="B83" t="s">
        <v>883</v>
      </c>
      <c r="C83" t="s">
        <v>863</v>
      </c>
      <c r="D83">
        <v>964</v>
      </c>
      <c r="E83">
        <v>0</v>
      </c>
      <c r="F83">
        <v>2200</v>
      </c>
      <c r="G83">
        <v>400</v>
      </c>
      <c r="I83">
        <v>1.0610000000000001E-3</v>
      </c>
    </row>
    <row r="84" spans="1:9">
      <c r="A84" t="s">
        <v>875</v>
      </c>
      <c r="B84" t="s">
        <v>877</v>
      </c>
      <c r="C84" t="s">
        <v>865</v>
      </c>
      <c r="D84">
        <v>965</v>
      </c>
      <c r="E84">
        <v>0</v>
      </c>
      <c r="F84">
        <v>1700</v>
      </c>
      <c r="G84">
        <v>1200</v>
      </c>
      <c r="I84">
        <v>1.9799999999999999E-4</v>
      </c>
    </row>
    <row r="85" spans="1:9">
      <c r="A85" t="s">
        <v>878</v>
      </c>
      <c r="B85" t="s">
        <v>880</v>
      </c>
      <c r="C85" t="s">
        <v>865</v>
      </c>
      <c r="D85">
        <v>965</v>
      </c>
      <c r="E85">
        <v>0</v>
      </c>
      <c r="F85">
        <v>1700</v>
      </c>
      <c r="G85">
        <v>800</v>
      </c>
      <c r="I85">
        <v>1.5899999999999999E-4</v>
      </c>
    </row>
    <row r="86" spans="1:9">
      <c r="A86" t="s">
        <v>858</v>
      </c>
      <c r="B86" t="s">
        <v>861</v>
      </c>
      <c r="C86" t="s">
        <v>867</v>
      </c>
      <c r="D86">
        <v>965</v>
      </c>
      <c r="E86">
        <v>0</v>
      </c>
      <c r="F86">
        <v>1700</v>
      </c>
      <c r="G86">
        <v>2400</v>
      </c>
      <c r="I86">
        <v>2.349E-3</v>
      </c>
    </row>
    <row r="87" spans="1:9">
      <c r="A87" t="s">
        <v>869</v>
      </c>
      <c r="B87" t="s">
        <v>871</v>
      </c>
      <c r="C87" t="s">
        <v>867</v>
      </c>
      <c r="D87">
        <v>965</v>
      </c>
      <c r="E87">
        <v>0</v>
      </c>
      <c r="F87">
        <v>1700</v>
      </c>
      <c r="G87">
        <v>2000</v>
      </c>
      <c r="I87">
        <v>2.774E-3</v>
      </c>
    </row>
    <row r="88" spans="1:9">
      <c r="A88" t="s">
        <v>872</v>
      </c>
      <c r="B88" t="s">
        <v>874</v>
      </c>
      <c r="C88" t="s">
        <v>867</v>
      </c>
      <c r="D88">
        <v>965</v>
      </c>
      <c r="E88">
        <v>0</v>
      </c>
      <c r="F88">
        <v>1700</v>
      </c>
      <c r="G88">
        <v>1600</v>
      </c>
      <c r="I88">
        <v>3.0639999999999999E-3</v>
      </c>
    </row>
    <row r="89" spans="1:9">
      <c r="A89" t="s">
        <v>875</v>
      </c>
      <c r="B89" t="s">
        <v>877</v>
      </c>
      <c r="C89" t="s">
        <v>867</v>
      </c>
      <c r="D89">
        <v>965</v>
      </c>
      <c r="E89">
        <v>0</v>
      </c>
      <c r="F89">
        <v>1700</v>
      </c>
      <c r="G89">
        <v>1200</v>
      </c>
      <c r="I89">
        <v>2.882E-3</v>
      </c>
    </row>
    <row r="90" spans="1:9">
      <c r="A90" t="s">
        <v>878</v>
      </c>
      <c r="B90" t="s">
        <v>880</v>
      </c>
      <c r="C90" t="s">
        <v>867</v>
      </c>
      <c r="D90">
        <v>965</v>
      </c>
      <c r="E90">
        <v>0</v>
      </c>
      <c r="F90">
        <v>1700</v>
      </c>
      <c r="G90">
        <v>800</v>
      </c>
      <c r="I90">
        <v>1.9319999999999999E-3</v>
      </c>
    </row>
    <row r="91" spans="1:9">
      <c r="A91" t="s">
        <v>875</v>
      </c>
      <c r="B91" t="s">
        <v>877</v>
      </c>
      <c r="C91" t="s">
        <v>862</v>
      </c>
      <c r="D91">
        <v>965</v>
      </c>
      <c r="E91">
        <v>0</v>
      </c>
      <c r="F91">
        <v>1700</v>
      </c>
      <c r="G91">
        <v>1200</v>
      </c>
      <c r="I91">
        <v>1.9799999999999999E-4</v>
      </c>
    </row>
    <row r="92" spans="1:9">
      <c r="A92" t="s">
        <v>878</v>
      </c>
      <c r="B92" t="s">
        <v>880</v>
      </c>
      <c r="C92" t="s">
        <v>862</v>
      </c>
      <c r="D92">
        <v>965</v>
      </c>
      <c r="E92">
        <v>0</v>
      </c>
      <c r="F92">
        <v>1700</v>
      </c>
      <c r="G92">
        <v>800</v>
      </c>
      <c r="I92">
        <v>1.5899999999999999E-4</v>
      </c>
    </row>
    <row r="93" spans="1:9">
      <c r="A93" t="s">
        <v>858</v>
      </c>
      <c r="B93" t="s">
        <v>861</v>
      </c>
      <c r="C93" t="s">
        <v>863</v>
      </c>
      <c r="D93">
        <v>965</v>
      </c>
      <c r="E93">
        <v>0</v>
      </c>
      <c r="F93">
        <v>1700</v>
      </c>
      <c r="G93">
        <v>2400</v>
      </c>
      <c r="I93">
        <v>2.349E-3</v>
      </c>
    </row>
    <row r="94" spans="1:9">
      <c r="A94" t="s">
        <v>869</v>
      </c>
      <c r="B94" t="s">
        <v>871</v>
      </c>
      <c r="C94" t="s">
        <v>863</v>
      </c>
      <c r="D94">
        <v>965</v>
      </c>
      <c r="E94">
        <v>0</v>
      </c>
      <c r="F94">
        <v>1700</v>
      </c>
      <c r="G94">
        <v>2000</v>
      </c>
      <c r="I94">
        <v>2.774E-3</v>
      </c>
    </row>
    <row r="95" spans="1:9">
      <c r="A95" t="s">
        <v>872</v>
      </c>
      <c r="B95" t="s">
        <v>874</v>
      </c>
      <c r="C95" t="s">
        <v>863</v>
      </c>
      <c r="D95">
        <v>965</v>
      </c>
      <c r="E95">
        <v>0</v>
      </c>
      <c r="F95">
        <v>1700</v>
      </c>
      <c r="G95">
        <v>1600</v>
      </c>
      <c r="I95">
        <v>3.0639999999999999E-3</v>
      </c>
    </row>
    <row r="96" spans="1:9">
      <c r="A96" t="s">
        <v>875</v>
      </c>
      <c r="B96" t="s">
        <v>877</v>
      </c>
      <c r="C96" t="s">
        <v>863</v>
      </c>
      <c r="D96">
        <v>965</v>
      </c>
      <c r="E96">
        <v>0</v>
      </c>
      <c r="F96">
        <v>1700</v>
      </c>
      <c r="G96">
        <v>1200</v>
      </c>
      <c r="I96">
        <v>2.882E-3</v>
      </c>
    </row>
    <row r="97" spans="1:9">
      <c r="A97" t="s">
        <v>878</v>
      </c>
      <c r="B97" t="s">
        <v>880</v>
      </c>
      <c r="C97" t="s">
        <v>863</v>
      </c>
      <c r="D97">
        <v>965</v>
      </c>
      <c r="E97">
        <v>0</v>
      </c>
      <c r="F97">
        <v>1700</v>
      </c>
      <c r="G97">
        <v>800</v>
      </c>
      <c r="I97">
        <v>1.9319999999999999E-3</v>
      </c>
    </row>
  </sheetData>
  <sortState ref="A2:I97">
    <sortCondition ref="D2:D97"/>
    <sortCondition ref="C2:C97"/>
    <sortCondition descending="1" ref="B2:B97"/>
  </sortState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topLeftCell="A211" workbookViewId="0">
      <selection activeCell="Q6" sqref="Q6"/>
    </sheetView>
  </sheetViews>
  <sheetFormatPr defaultRowHeight="16.5"/>
  <sheetData>
    <row r="1" spans="1:20">
      <c r="A1" t="s">
        <v>881</v>
      </c>
      <c r="B1" t="s">
        <v>920</v>
      </c>
      <c r="C1" t="s">
        <v>807</v>
      </c>
      <c r="D1">
        <v>1000</v>
      </c>
      <c r="E1">
        <v>0</v>
      </c>
      <c r="G1" t="s">
        <v>926</v>
      </c>
      <c r="J1">
        <v>364.2</v>
      </c>
      <c r="K1">
        <f>J1*D1</f>
        <v>364200</v>
      </c>
      <c r="L1">
        <f>K1/1000000</f>
        <v>0.36420000000000002</v>
      </c>
      <c r="M1">
        <f>L1*7850</f>
        <v>2858.9700000000003</v>
      </c>
      <c r="N1">
        <f>SUM(L1:L12)</f>
        <v>4.239808</v>
      </c>
      <c r="O1">
        <f>N1*7850</f>
        <v>33282.4928</v>
      </c>
      <c r="T1" t="s">
        <v>886</v>
      </c>
    </row>
    <row r="2" spans="1:20">
      <c r="A2" t="s">
        <v>881</v>
      </c>
      <c r="B2" t="s">
        <v>921</v>
      </c>
      <c r="C2" t="s">
        <v>807</v>
      </c>
      <c r="D2">
        <v>1000</v>
      </c>
      <c r="E2">
        <v>0</v>
      </c>
      <c r="G2" t="s">
        <v>926</v>
      </c>
      <c r="J2" s="172">
        <v>364.2</v>
      </c>
      <c r="K2" s="172">
        <f t="shared" ref="K2:K64" si="0">J2*D2</f>
        <v>364200</v>
      </c>
      <c r="L2" s="172">
        <f t="shared" ref="L2:L64" si="1">K2/1000000</f>
        <v>0.36420000000000002</v>
      </c>
      <c r="M2" s="172">
        <f t="shared" ref="M2:M64" si="2">L2*7850</f>
        <v>2858.9700000000003</v>
      </c>
      <c r="N2">
        <f>SUM(L13:L20)</f>
        <v>0.94787994479999993</v>
      </c>
      <c r="O2" s="172">
        <f t="shared" ref="O2:O11" si="3">N2*7850</f>
        <v>7440.8575666799998</v>
      </c>
      <c r="T2" t="s">
        <v>886</v>
      </c>
    </row>
    <row r="3" spans="1:20">
      <c r="A3" t="s">
        <v>881</v>
      </c>
      <c r="B3" t="s">
        <v>922</v>
      </c>
      <c r="C3" t="s">
        <v>807</v>
      </c>
      <c r="D3">
        <v>1000</v>
      </c>
      <c r="E3">
        <v>0</v>
      </c>
      <c r="G3" t="s">
        <v>927</v>
      </c>
      <c r="J3" s="172">
        <v>215.64</v>
      </c>
      <c r="K3" s="172">
        <f t="shared" si="0"/>
        <v>215640</v>
      </c>
      <c r="L3" s="172">
        <f t="shared" si="1"/>
        <v>0.21564</v>
      </c>
      <c r="M3" s="172">
        <f t="shared" si="2"/>
        <v>1692.7739999999999</v>
      </c>
      <c r="N3">
        <f>SUM(L21:L38)</f>
        <v>4.4678399999999998</v>
      </c>
      <c r="O3" s="172">
        <f t="shared" si="3"/>
        <v>35072.544000000002</v>
      </c>
      <c r="T3" t="s">
        <v>886</v>
      </c>
    </row>
    <row r="4" spans="1:20">
      <c r="A4" t="s">
        <v>881</v>
      </c>
      <c r="B4" t="s">
        <v>924</v>
      </c>
      <c r="C4" t="s">
        <v>807</v>
      </c>
      <c r="D4">
        <v>1000</v>
      </c>
      <c r="E4">
        <v>0</v>
      </c>
      <c r="G4" t="s">
        <v>927</v>
      </c>
      <c r="J4" s="172">
        <v>215.64</v>
      </c>
      <c r="K4" s="172">
        <f t="shared" si="0"/>
        <v>215640</v>
      </c>
      <c r="L4" s="172">
        <f t="shared" si="1"/>
        <v>0.21564</v>
      </c>
      <c r="M4" s="172">
        <f t="shared" si="2"/>
        <v>1692.7739999999999</v>
      </c>
      <c r="O4" s="172">
        <f>SUM(O1:O3)</f>
        <v>75795.894366680004</v>
      </c>
      <c r="P4">
        <f>O4/1292</f>
        <v>58.665552915387003</v>
      </c>
      <c r="T4" t="s">
        <v>886</v>
      </c>
    </row>
    <row r="5" spans="1:20">
      <c r="A5" t="s">
        <v>881</v>
      </c>
      <c r="B5" t="s">
        <v>911</v>
      </c>
      <c r="C5" t="s">
        <v>807</v>
      </c>
      <c r="D5">
        <v>1000</v>
      </c>
      <c r="E5">
        <v>0</v>
      </c>
      <c r="G5" t="s">
        <v>925</v>
      </c>
      <c r="J5" s="172">
        <v>405.28</v>
      </c>
      <c r="K5" s="172">
        <f t="shared" si="0"/>
        <v>405280</v>
      </c>
      <c r="L5" s="172">
        <f t="shared" si="1"/>
        <v>0.40527999999999997</v>
      </c>
      <c r="M5" s="172">
        <f t="shared" si="2"/>
        <v>3181.4479999999999</v>
      </c>
      <c r="N5">
        <f>SUM(L77:L88)</f>
        <v>3.1952799999999995</v>
      </c>
      <c r="O5" s="172">
        <f t="shared" si="3"/>
        <v>25082.947999999997</v>
      </c>
      <c r="P5" s="172">
        <f t="shared" ref="P5:P12" si="4">O5/1292</f>
        <v>19.414046439628482</v>
      </c>
      <c r="T5" t="s">
        <v>886</v>
      </c>
    </row>
    <row r="6" spans="1:20">
      <c r="A6" t="s">
        <v>881</v>
      </c>
      <c r="B6" t="s">
        <v>913</v>
      </c>
      <c r="C6" t="s">
        <v>807</v>
      </c>
      <c r="D6">
        <v>900</v>
      </c>
      <c r="E6">
        <v>0</v>
      </c>
      <c r="G6" t="s">
        <v>925</v>
      </c>
      <c r="J6" s="172">
        <v>405.28</v>
      </c>
      <c r="K6" s="172">
        <f t="shared" si="0"/>
        <v>364752</v>
      </c>
      <c r="L6" s="172">
        <f t="shared" si="1"/>
        <v>0.36475200000000002</v>
      </c>
      <c r="M6" s="172">
        <f t="shared" si="2"/>
        <v>2863.3032000000003</v>
      </c>
      <c r="N6">
        <f>SUM(L89:L96)</f>
        <v>0.4583247585600001</v>
      </c>
      <c r="O6" s="172">
        <f t="shared" si="3"/>
        <v>3597.8493546960008</v>
      </c>
      <c r="P6" s="172">
        <f t="shared" si="4"/>
        <v>2.7847131228297219</v>
      </c>
      <c r="T6" t="s">
        <v>886</v>
      </c>
    </row>
    <row r="7" spans="1:20">
      <c r="A7" t="s">
        <v>881</v>
      </c>
      <c r="B7" t="s">
        <v>914</v>
      </c>
      <c r="C7" t="s">
        <v>807</v>
      </c>
      <c r="D7">
        <v>900</v>
      </c>
      <c r="E7">
        <v>0</v>
      </c>
      <c r="G7" t="s">
        <v>925</v>
      </c>
      <c r="J7" s="172">
        <v>405.28</v>
      </c>
      <c r="K7" s="172">
        <f t="shared" si="0"/>
        <v>364752</v>
      </c>
      <c r="L7" s="172">
        <f t="shared" si="1"/>
        <v>0.36475200000000002</v>
      </c>
      <c r="M7" s="172">
        <f t="shared" si="2"/>
        <v>2863.3032000000003</v>
      </c>
      <c r="N7">
        <f>SUM(L97:L114)</f>
        <v>3.9299200000000014</v>
      </c>
      <c r="O7" s="172">
        <f t="shared" si="3"/>
        <v>30849.87200000001</v>
      </c>
      <c r="P7" s="172">
        <f t="shared" si="4"/>
        <v>23.87760990712075</v>
      </c>
      <c r="T7" t="s">
        <v>886</v>
      </c>
    </row>
    <row r="8" spans="1:20">
      <c r="A8" t="s">
        <v>881</v>
      </c>
      <c r="B8" t="s">
        <v>915</v>
      </c>
      <c r="C8" t="s">
        <v>807</v>
      </c>
      <c r="D8">
        <v>1000</v>
      </c>
      <c r="E8">
        <v>0</v>
      </c>
      <c r="G8" t="s">
        <v>925</v>
      </c>
      <c r="J8" s="172">
        <v>405.28</v>
      </c>
      <c r="K8" s="172">
        <f t="shared" si="0"/>
        <v>405280</v>
      </c>
      <c r="L8" s="172">
        <f t="shared" si="1"/>
        <v>0.40527999999999997</v>
      </c>
      <c r="M8" s="172">
        <f t="shared" si="2"/>
        <v>3181.4479999999999</v>
      </c>
      <c r="O8" s="172">
        <f>SUM(O5:O7)</f>
        <v>59530.669354696009</v>
      </c>
      <c r="P8" s="172">
        <f t="shared" si="4"/>
        <v>46.076369469578957</v>
      </c>
      <c r="T8" t="s">
        <v>886</v>
      </c>
    </row>
    <row r="9" spans="1:20">
      <c r="A9" t="s">
        <v>881</v>
      </c>
      <c r="B9" t="s">
        <v>916</v>
      </c>
      <c r="C9" t="s">
        <v>807</v>
      </c>
      <c r="D9">
        <v>1000</v>
      </c>
      <c r="E9">
        <v>0</v>
      </c>
      <c r="G9" t="s">
        <v>925</v>
      </c>
      <c r="J9" s="172">
        <v>405.28</v>
      </c>
      <c r="K9" s="172">
        <f t="shared" si="0"/>
        <v>405280</v>
      </c>
      <c r="L9" s="172">
        <f t="shared" si="1"/>
        <v>0.40527999999999997</v>
      </c>
      <c r="M9" s="172">
        <f t="shared" si="2"/>
        <v>3181.4479999999999</v>
      </c>
      <c r="N9">
        <f>SUM(L153:L164)</f>
        <v>2.9402879999999998</v>
      </c>
      <c r="O9" s="172">
        <f t="shared" si="3"/>
        <v>23081.2608</v>
      </c>
      <c r="P9" s="172">
        <f t="shared" si="4"/>
        <v>17.864752941176469</v>
      </c>
      <c r="T9" t="s">
        <v>886</v>
      </c>
    </row>
    <row r="10" spans="1:20">
      <c r="A10" t="s">
        <v>881</v>
      </c>
      <c r="B10" t="s">
        <v>917</v>
      </c>
      <c r="C10" t="s">
        <v>807</v>
      </c>
      <c r="D10">
        <v>900</v>
      </c>
      <c r="E10">
        <v>0</v>
      </c>
      <c r="G10" t="s">
        <v>925</v>
      </c>
      <c r="J10" s="172">
        <v>405.28</v>
      </c>
      <c r="K10" s="172">
        <f t="shared" si="0"/>
        <v>364752</v>
      </c>
      <c r="L10" s="172">
        <f t="shared" si="1"/>
        <v>0.36475200000000002</v>
      </c>
      <c r="M10" s="172">
        <f t="shared" si="2"/>
        <v>2863.3032000000003</v>
      </c>
      <c r="N10">
        <f>SUM(L165:L172)</f>
        <v>0.53160903528000003</v>
      </c>
      <c r="O10" s="172">
        <f t="shared" si="3"/>
        <v>4173.1309269479998</v>
      </c>
      <c r="P10" s="172">
        <f t="shared" si="4"/>
        <v>3.2299774976377709</v>
      </c>
      <c r="T10" t="s">
        <v>886</v>
      </c>
    </row>
    <row r="11" spans="1:20">
      <c r="A11" t="s">
        <v>881</v>
      </c>
      <c r="B11" t="s">
        <v>918</v>
      </c>
      <c r="C11" t="s">
        <v>807</v>
      </c>
      <c r="D11">
        <v>900</v>
      </c>
      <c r="E11">
        <v>0</v>
      </c>
      <c r="G11" t="s">
        <v>925</v>
      </c>
      <c r="J11" s="172">
        <v>405.28</v>
      </c>
      <c r="K11" s="172">
        <f t="shared" si="0"/>
        <v>364752</v>
      </c>
      <c r="L11" s="172">
        <f t="shared" si="1"/>
        <v>0.36475200000000002</v>
      </c>
      <c r="M11" s="172">
        <f t="shared" si="2"/>
        <v>2863.3032000000003</v>
      </c>
      <c r="N11">
        <f>SUM(L173:L190)</f>
        <v>3.5974399999999993</v>
      </c>
      <c r="O11" s="172">
        <f t="shared" si="3"/>
        <v>28239.903999999995</v>
      </c>
      <c r="P11" s="172">
        <f t="shared" si="4"/>
        <v>21.85751083591331</v>
      </c>
      <c r="T11" t="s">
        <v>886</v>
      </c>
    </row>
    <row r="12" spans="1:20">
      <c r="A12" t="s">
        <v>881</v>
      </c>
      <c r="B12" t="s">
        <v>919</v>
      </c>
      <c r="C12" t="s">
        <v>807</v>
      </c>
      <c r="D12">
        <v>1000</v>
      </c>
      <c r="E12">
        <v>0</v>
      </c>
      <c r="G12" t="s">
        <v>925</v>
      </c>
      <c r="J12" s="172">
        <v>405.28</v>
      </c>
      <c r="K12" s="172">
        <f t="shared" si="0"/>
        <v>405280</v>
      </c>
      <c r="L12" s="172">
        <f t="shared" si="1"/>
        <v>0.40527999999999997</v>
      </c>
      <c r="M12" s="172">
        <f t="shared" si="2"/>
        <v>3181.4479999999999</v>
      </c>
      <c r="O12">
        <f>SUM(O9:O11)</f>
        <v>55494.295726947996</v>
      </c>
      <c r="P12" s="172">
        <f t="shared" si="4"/>
        <v>42.952241274727548</v>
      </c>
      <c r="T12" t="s">
        <v>886</v>
      </c>
    </row>
    <row r="13" spans="1:20">
      <c r="A13" t="s">
        <v>881</v>
      </c>
      <c r="B13" t="s">
        <v>932</v>
      </c>
      <c r="C13" t="s">
        <v>808</v>
      </c>
      <c r="D13">
        <v>640.31200000000001</v>
      </c>
      <c r="E13">
        <v>0</v>
      </c>
      <c r="G13" t="s">
        <v>938</v>
      </c>
      <c r="J13" s="172">
        <v>60</v>
      </c>
      <c r="K13" s="172">
        <f t="shared" si="0"/>
        <v>38418.720000000001</v>
      </c>
      <c r="L13" s="172">
        <f t="shared" si="1"/>
        <v>3.8418720000000003E-2</v>
      </c>
      <c r="M13" s="172">
        <f t="shared" si="2"/>
        <v>301.58695200000005</v>
      </c>
      <c r="T13" t="s">
        <v>886</v>
      </c>
    </row>
    <row r="14" spans="1:20">
      <c r="A14" t="s">
        <v>881</v>
      </c>
      <c r="B14" t="s">
        <v>934</v>
      </c>
      <c r="C14" t="s">
        <v>808</v>
      </c>
      <c r="D14">
        <v>640.31200000000001</v>
      </c>
      <c r="E14">
        <v>0</v>
      </c>
      <c r="G14" t="s">
        <v>938</v>
      </c>
      <c r="J14" s="172">
        <v>60</v>
      </c>
      <c r="K14" s="172">
        <f t="shared" si="0"/>
        <v>38418.720000000001</v>
      </c>
      <c r="L14" s="172">
        <f t="shared" si="1"/>
        <v>3.8418720000000003E-2</v>
      </c>
      <c r="M14" s="172">
        <f t="shared" si="2"/>
        <v>301.58695200000005</v>
      </c>
      <c r="T14" t="s">
        <v>886</v>
      </c>
    </row>
    <row r="15" spans="1:20">
      <c r="A15" t="s">
        <v>881</v>
      </c>
      <c r="B15" t="s">
        <v>935</v>
      </c>
      <c r="C15" t="s">
        <v>808</v>
      </c>
      <c r="D15">
        <v>640.31200000000001</v>
      </c>
      <c r="E15">
        <v>0</v>
      </c>
      <c r="G15" t="s">
        <v>938</v>
      </c>
      <c r="J15" s="172">
        <v>60</v>
      </c>
      <c r="K15" s="172">
        <f t="shared" si="0"/>
        <v>38418.720000000001</v>
      </c>
      <c r="L15" s="172">
        <f t="shared" si="1"/>
        <v>3.8418720000000003E-2</v>
      </c>
      <c r="M15" s="172">
        <f t="shared" si="2"/>
        <v>301.58695200000005</v>
      </c>
      <c r="T15" t="s">
        <v>886</v>
      </c>
    </row>
    <row r="16" spans="1:20">
      <c r="A16" t="s">
        <v>881</v>
      </c>
      <c r="B16" t="s">
        <v>936</v>
      </c>
      <c r="C16" t="s">
        <v>808</v>
      </c>
      <c r="D16">
        <v>640.31200000000001</v>
      </c>
      <c r="E16">
        <v>0</v>
      </c>
      <c r="G16" t="s">
        <v>938</v>
      </c>
      <c r="J16" s="172">
        <v>60</v>
      </c>
      <c r="K16" s="172">
        <f t="shared" si="0"/>
        <v>38418.720000000001</v>
      </c>
      <c r="L16" s="172">
        <f t="shared" si="1"/>
        <v>3.8418720000000003E-2</v>
      </c>
      <c r="M16" s="172">
        <f t="shared" si="2"/>
        <v>301.58695200000005</v>
      </c>
      <c r="T16" t="s">
        <v>886</v>
      </c>
    </row>
    <row r="17" spans="1:20">
      <c r="A17" t="s">
        <v>881</v>
      </c>
      <c r="B17" t="s">
        <v>928</v>
      </c>
      <c r="C17" t="s">
        <v>808</v>
      </c>
      <c r="D17">
        <v>583.63099999999997</v>
      </c>
      <c r="E17">
        <v>0</v>
      </c>
      <c r="G17" t="s">
        <v>910</v>
      </c>
      <c r="J17" s="172">
        <v>340.2</v>
      </c>
      <c r="K17" s="172">
        <f t="shared" si="0"/>
        <v>198551.26619999998</v>
      </c>
      <c r="L17" s="172">
        <f t="shared" si="1"/>
        <v>0.19855126619999999</v>
      </c>
      <c r="M17" s="172">
        <f t="shared" si="2"/>
        <v>1558.6274396699998</v>
      </c>
      <c r="T17" t="s">
        <v>886</v>
      </c>
    </row>
    <row r="18" spans="1:20">
      <c r="A18" t="s">
        <v>881</v>
      </c>
      <c r="B18" t="s">
        <v>929</v>
      </c>
      <c r="C18" t="s">
        <v>808</v>
      </c>
      <c r="D18">
        <v>583.63099999999997</v>
      </c>
      <c r="E18">
        <v>0</v>
      </c>
      <c r="G18" t="s">
        <v>910</v>
      </c>
      <c r="J18" s="172">
        <v>340.2</v>
      </c>
      <c r="K18" s="172">
        <f t="shared" si="0"/>
        <v>198551.26619999998</v>
      </c>
      <c r="L18" s="172">
        <f t="shared" si="1"/>
        <v>0.19855126619999999</v>
      </c>
      <c r="M18" s="172">
        <f t="shared" si="2"/>
        <v>1558.6274396699998</v>
      </c>
      <c r="T18" t="s">
        <v>886</v>
      </c>
    </row>
    <row r="19" spans="1:20">
      <c r="A19" t="s">
        <v>881</v>
      </c>
      <c r="B19" t="s">
        <v>930</v>
      </c>
      <c r="C19" t="s">
        <v>808</v>
      </c>
      <c r="D19">
        <v>583.63099999999997</v>
      </c>
      <c r="E19">
        <v>0</v>
      </c>
      <c r="G19" t="s">
        <v>910</v>
      </c>
      <c r="J19" s="172">
        <v>340.2</v>
      </c>
      <c r="K19" s="172">
        <f t="shared" si="0"/>
        <v>198551.26619999998</v>
      </c>
      <c r="L19" s="172">
        <f t="shared" si="1"/>
        <v>0.19855126619999999</v>
      </c>
      <c r="M19" s="172">
        <f t="shared" si="2"/>
        <v>1558.6274396699998</v>
      </c>
      <c r="T19" t="s">
        <v>886</v>
      </c>
    </row>
    <row r="20" spans="1:20">
      <c r="A20" t="s">
        <v>881</v>
      </c>
      <c r="B20" t="s">
        <v>931</v>
      </c>
      <c r="C20" t="s">
        <v>808</v>
      </c>
      <c r="D20">
        <v>583.63099999999997</v>
      </c>
      <c r="E20">
        <v>0</v>
      </c>
      <c r="G20" t="s">
        <v>910</v>
      </c>
      <c r="J20" s="172">
        <v>340.2</v>
      </c>
      <c r="K20" s="172">
        <f t="shared" si="0"/>
        <v>198551.26619999998</v>
      </c>
      <c r="L20" s="172">
        <f t="shared" si="1"/>
        <v>0.19855126619999999</v>
      </c>
      <c r="M20" s="172">
        <f t="shared" si="2"/>
        <v>1558.6274396699998</v>
      </c>
      <c r="T20" t="s">
        <v>886</v>
      </c>
    </row>
    <row r="21" spans="1:20">
      <c r="A21" t="s">
        <v>881</v>
      </c>
      <c r="B21" t="s">
        <v>884</v>
      </c>
      <c r="C21" t="s">
        <v>805</v>
      </c>
      <c r="D21">
        <v>400</v>
      </c>
      <c r="E21">
        <v>0</v>
      </c>
      <c r="G21" t="s">
        <v>907</v>
      </c>
      <c r="J21" s="172">
        <v>1700</v>
      </c>
      <c r="K21" s="172">
        <f t="shared" si="0"/>
        <v>680000</v>
      </c>
      <c r="L21" s="172">
        <f t="shared" si="1"/>
        <v>0.68</v>
      </c>
      <c r="M21" s="172">
        <f t="shared" si="2"/>
        <v>5338</v>
      </c>
      <c r="T21" t="s">
        <v>886</v>
      </c>
    </row>
    <row r="22" spans="1:20">
      <c r="A22" t="s">
        <v>881</v>
      </c>
      <c r="B22" t="s">
        <v>887</v>
      </c>
      <c r="C22" t="s">
        <v>805</v>
      </c>
      <c r="D22">
        <v>400</v>
      </c>
      <c r="E22">
        <v>0</v>
      </c>
      <c r="G22" t="s">
        <v>907</v>
      </c>
      <c r="J22" s="172">
        <v>1700</v>
      </c>
      <c r="K22" s="172">
        <f t="shared" si="0"/>
        <v>680000</v>
      </c>
      <c r="L22" s="172">
        <f t="shared" si="1"/>
        <v>0.68</v>
      </c>
      <c r="M22" s="172">
        <f t="shared" si="2"/>
        <v>5338</v>
      </c>
      <c r="T22" t="s">
        <v>886</v>
      </c>
    </row>
    <row r="23" spans="1:20">
      <c r="A23" t="s">
        <v>881</v>
      </c>
      <c r="B23" t="s">
        <v>895</v>
      </c>
      <c r="C23" t="s">
        <v>805</v>
      </c>
      <c r="D23">
        <v>400</v>
      </c>
      <c r="E23">
        <v>0</v>
      </c>
      <c r="G23" t="s">
        <v>907</v>
      </c>
      <c r="J23" s="172">
        <v>1700</v>
      </c>
      <c r="K23" s="172">
        <f t="shared" si="0"/>
        <v>680000</v>
      </c>
      <c r="L23" s="172">
        <f t="shared" si="1"/>
        <v>0.68</v>
      </c>
      <c r="M23" s="172">
        <f t="shared" si="2"/>
        <v>5338</v>
      </c>
      <c r="T23" t="s">
        <v>886</v>
      </c>
    </row>
    <row r="24" spans="1:20">
      <c r="A24" t="s">
        <v>881</v>
      </c>
      <c r="B24" t="s">
        <v>896</v>
      </c>
      <c r="C24" t="s">
        <v>805</v>
      </c>
      <c r="D24">
        <v>400</v>
      </c>
      <c r="E24">
        <v>0</v>
      </c>
      <c r="G24" t="s">
        <v>907</v>
      </c>
      <c r="J24" s="172">
        <v>1700</v>
      </c>
      <c r="K24" s="172">
        <f t="shared" si="0"/>
        <v>680000</v>
      </c>
      <c r="L24" s="172">
        <f t="shared" si="1"/>
        <v>0.68</v>
      </c>
      <c r="M24" s="172">
        <f t="shared" si="2"/>
        <v>5338</v>
      </c>
      <c r="T24" t="s">
        <v>886</v>
      </c>
    </row>
    <row r="25" spans="1:20">
      <c r="A25" t="s">
        <v>881</v>
      </c>
      <c r="B25" t="s">
        <v>897</v>
      </c>
      <c r="C25" t="s">
        <v>805</v>
      </c>
      <c r="D25">
        <v>400</v>
      </c>
      <c r="E25">
        <v>0</v>
      </c>
      <c r="G25" t="s">
        <v>910</v>
      </c>
      <c r="J25">
        <v>340.2</v>
      </c>
      <c r="K25" s="172">
        <f t="shared" si="0"/>
        <v>136080</v>
      </c>
      <c r="L25" s="172">
        <f t="shared" si="1"/>
        <v>0.13608000000000001</v>
      </c>
      <c r="M25" s="172">
        <f t="shared" si="2"/>
        <v>1068.2280000000001</v>
      </c>
      <c r="T25" t="s">
        <v>886</v>
      </c>
    </row>
    <row r="26" spans="1:20">
      <c r="A26" t="s">
        <v>881</v>
      </c>
      <c r="B26" t="s">
        <v>899</v>
      </c>
      <c r="C26" t="s">
        <v>805</v>
      </c>
      <c r="D26">
        <v>400</v>
      </c>
      <c r="E26">
        <v>0</v>
      </c>
      <c r="G26" t="s">
        <v>910</v>
      </c>
      <c r="J26" s="172">
        <v>340.2</v>
      </c>
      <c r="K26" s="172">
        <f t="shared" si="0"/>
        <v>136080</v>
      </c>
      <c r="L26" s="172">
        <f t="shared" si="1"/>
        <v>0.13608000000000001</v>
      </c>
      <c r="M26" s="172">
        <f t="shared" si="2"/>
        <v>1068.2280000000001</v>
      </c>
      <c r="T26" t="s">
        <v>886</v>
      </c>
    </row>
    <row r="27" spans="1:20">
      <c r="A27" t="s">
        <v>881</v>
      </c>
      <c r="B27" t="s">
        <v>900</v>
      </c>
      <c r="C27" t="s">
        <v>805</v>
      </c>
      <c r="D27">
        <v>400</v>
      </c>
      <c r="E27">
        <v>0</v>
      </c>
      <c r="G27" t="s">
        <v>910</v>
      </c>
      <c r="J27" s="172">
        <v>340.2</v>
      </c>
      <c r="K27" s="172">
        <f t="shared" si="0"/>
        <v>136080</v>
      </c>
      <c r="L27" s="172">
        <f t="shared" si="1"/>
        <v>0.13608000000000001</v>
      </c>
      <c r="M27" s="172">
        <f t="shared" si="2"/>
        <v>1068.2280000000001</v>
      </c>
      <c r="T27" t="s">
        <v>886</v>
      </c>
    </row>
    <row r="28" spans="1:20">
      <c r="A28" t="s">
        <v>881</v>
      </c>
      <c r="B28" t="s">
        <v>901</v>
      </c>
      <c r="C28" t="s">
        <v>805</v>
      </c>
      <c r="D28">
        <v>400</v>
      </c>
      <c r="E28">
        <v>0</v>
      </c>
      <c r="G28" t="s">
        <v>910</v>
      </c>
      <c r="J28" s="172">
        <v>340.2</v>
      </c>
      <c r="K28" s="172">
        <f t="shared" si="0"/>
        <v>136080</v>
      </c>
      <c r="L28" s="172">
        <f t="shared" si="1"/>
        <v>0.13608000000000001</v>
      </c>
      <c r="M28" s="172">
        <f t="shared" si="2"/>
        <v>1068.2280000000001</v>
      </c>
      <c r="T28" t="s">
        <v>886</v>
      </c>
    </row>
    <row r="29" spans="1:20">
      <c r="A29" t="s">
        <v>881</v>
      </c>
      <c r="B29" t="s">
        <v>888</v>
      </c>
      <c r="C29" t="s">
        <v>805</v>
      </c>
      <c r="D29">
        <v>400</v>
      </c>
      <c r="E29">
        <v>0</v>
      </c>
      <c r="G29" t="s">
        <v>908</v>
      </c>
      <c r="J29" s="172">
        <v>300.88</v>
      </c>
      <c r="K29" s="172">
        <f t="shared" si="0"/>
        <v>120352</v>
      </c>
      <c r="L29" s="172">
        <f t="shared" si="1"/>
        <v>0.120352</v>
      </c>
      <c r="M29" s="172">
        <f t="shared" si="2"/>
        <v>944.76319999999998</v>
      </c>
      <c r="T29" t="s">
        <v>886</v>
      </c>
    </row>
    <row r="30" spans="1:20">
      <c r="A30" t="s">
        <v>881</v>
      </c>
      <c r="B30" t="s">
        <v>890</v>
      </c>
      <c r="C30" t="s">
        <v>805</v>
      </c>
      <c r="D30">
        <v>400</v>
      </c>
      <c r="E30">
        <v>0</v>
      </c>
      <c r="G30" t="s">
        <v>908</v>
      </c>
      <c r="J30" s="172">
        <v>300.88</v>
      </c>
      <c r="K30" s="172">
        <f t="shared" si="0"/>
        <v>120352</v>
      </c>
      <c r="L30" s="172">
        <f t="shared" si="1"/>
        <v>0.120352</v>
      </c>
      <c r="M30" s="172">
        <f t="shared" si="2"/>
        <v>944.76319999999998</v>
      </c>
      <c r="T30" t="s">
        <v>886</v>
      </c>
    </row>
    <row r="31" spans="1:20">
      <c r="A31" t="s">
        <v>881</v>
      </c>
      <c r="B31" t="s">
        <v>891</v>
      </c>
      <c r="C31" t="s">
        <v>805</v>
      </c>
      <c r="D31">
        <v>400</v>
      </c>
      <c r="E31">
        <v>0</v>
      </c>
      <c r="G31" t="s">
        <v>908</v>
      </c>
      <c r="J31" s="172">
        <v>300.88</v>
      </c>
      <c r="K31" s="172">
        <f t="shared" si="0"/>
        <v>120352</v>
      </c>
      <c r="L31" s="172">
        <f t="shared" si="1"/>
        <v>0.120352</v>
      </c>
      <c r="M31" s="172">
        <f t="shared" si="2"/>
        <v>944.76319999999998</v>
      </c>
      <c r="T31" t="s">
        <v>886</v>
      </c>
    </row>
    <row r="32" spans="1:20">
      <c r="A32" t="s">
        <v>881</v>
      </c>
      <c r="B32" t="s">
        <v>892</v>
      </c>
      <c r="C32" t="s">
        <v>805</v>
      </c>
      <c r="D32">
        <v>400</v>
      </c>
      <c r="E32">
        <v>0</v>
      </c>
      <c r="G32" t="s">
        <v>908</v>
      </c>
      <c r="J32" s="172">
        <v>300.88</v>
      </c>
      <c r="K32" s="172">
        <f t="shared" si="0"/>
        <v>120352</v>
      </c>
      <c r="L32" s="172">
        <f t="shared" si="1"/>
        <v>0.120352</v>
      </c>
      <c r="M32" s="172">
        <f t="shared" si="2"/>
        <v>944.76319999999998</v>
      </c>
      <c r="T32" t="s">
        <v>886</v>
      </c>
    </row>
    <row r="33" spans="1:20">
      <c r="A33" t="s">
        <v>881</v>
      </c>
      <c r="B33" t="s">
        <v>893</v>
      </c>
      <c r="C33" t="s">
        <v>805</v>
      </c>
      <c r="D33">
        <v>400</v>
      </c>
      <c r="E33">
        <v>0</v>
      </c>
      <c r="G33" t="s">
        <v>908</v>
      </c>
      <c r="J33">
        <v>300.88</v>
      </c>
      <c r="K33" s="172">
        <f t="shared" si="0"/>
        <v>120352</v>
      </c>
      <c r="L33" s="172">
        <f t="shared" si="1"/>
        <v>0.120352</v>
      </c>
      <c r="M33" s="172">
        <f t="shared" si="2"/>
        <v>944.76319999999998</v>
      </c>
      <c r="T33" t="s">
        <v>886</v>
      </c>
    </row>
    <row r="34" spans="1:20">
      <c r="A34" t="s">
        <v>881</v>
      </c>
      <c r="B34" t="s">
        <v>894</v>
      </c>
      <c r="C34" t="s">
        <v>805</v>
      </c>
      <c r="D34">
        <v>400</v>
      </c>
      <c r="E34">
        <v>0</v>
      </c>
      <c r="G34" t="s">
        <v>908</v>
      </c>
      <c r="J34" s="172">
        <v>300.88</v>
      </c>
      <c r="K34" s="172">
        <f t="shared" si="0"/>
        <v>120352</v>
      </c>
      <c r="L34" s="172">
        <f t="shared" si="1"/>
        <v>0.120352</v>
      </c>
      <c r="M34" s="172">
        <f t="shared" si="2"/>
        <v>944.76319999999998</v>
      </c>
      <c r="T34" t="s">
        <v>886</v>
      </c>
    </row>
    <row r="35" spans="1:20">
      <c r="A35" t="s">
        <v>881</v>
      </c>
      <c r="B35" t="s">
        <v>902</v>
      </c>
      <c r="C35" t="s">
        <v>805</v>
      </c>
      <c r="D35">
        <v>400</v>
      </c>
      <c r="E35">
        <v>0</v>
      </c>
      <c r="G35" t="s">
        <v>908</v>
      </c>
      <c r="J35" s="172">
        <v>300.88</v>
      </c>
      <c r="K35" s="172">
        <f t="shared" si="0"/>
        <v>120352</v>
      </c>
      <c r="L35" s="172">
        <f t="shared" si="1"/>
        <v>0.120352</v>
      </c>
      <c r="M35" s="172">
        <f t="shared" si="2"/>
        <v>944.76319999999998</v>
      </c>
      <c r="T35" t="s">
        <v>886</v>
      </c>
    </row>
    <row r="36" spans="1:20">
      <c r="A36" t="s">
        <v>881</v>
      </c>
      <c r="B36" t="s">
        <v>904</v>
      </c>
      <c r="C36" t="s">
        <v>805</v>
      </c>
      <c r="D36">
        <v>400</v>
      </c>
      <c r="E36">
        <v>0</v>
      </c>
      <c r="G36" t="s">
        <v>908</v>
      </c>
      <c r="J36" s="172">
        <v>300.88</v>
      </c>
      <c r="K36" s="172">
        <f t="shared" si="0"/>
        <v>120352</v>
      </c>
      <c r="L36" s="172">
        <f t="shared" si="1"/>
        <v>0.120352</v>
      </c>
      <c r="M36" s="172">
        <f t="shared" si="2"/>
        <v>944.76319999999998</v>
      </c>
      <c r="T36" t="s">
        <v>886</v>
      </c>
    </row>
    <row r="37" spans="1:20">
      <c r="A37" t="s">
        <v>881</v>
      </c>
      <c r="B37" t="s">
        <v>905</v>
      </c>
      <c r="C37" t="s">
        <v>805</v>
      </c>
      <c r="D37">
        <v>400</v>
      </c>
      <c r="E37">
        <v>0</v>
      </c>
      <c r="G37" t="s">
        <v>908</v>
      </c>
      <c r="J37" s="172">
        <v>300.88</v>
      </c>
      <c r="K37" s="172">
        <f t="shared" si="0"/>
        <v>120352</v>
      </c>
      <c r="L37" s="172">
        <f t="shared" si="1"/>
        <v>0.120352</v>
      </c>
      <c r="M37" s="172">
        <f t="shared" si="2"/>
        <v>944.76319999999998</v>
      </c>
      <c r="T37" t="s">
        <v>886</v>
      </c>
    </row>
    <row r="38" spans="1:20">
      <c r="A38" t="s">
        <v>881</v>
      </c>
      <c r="B38" t="s">
        <v>906</v>
      </c>
      <c r="C38" t="s">
        <v>805</v>
      </c>
      <c r="D38">
        <v>400</v>
      </c>
      <c r="E38">
        <v>0</v>
      </c>
      <c r="G38" t="s">
        <v>908</v>
      </c>
      <c r="J38" s="172">
        <v>300.88</v>
      </c>
      <c r="K38" s="172">
        <f t="shared" si="0"/>
        <v>120352</v>
      </c>
      <c r="L38" s="172">
        <f t="shared" si="1"/>
        <v>0.120352</v>
      </c>
      <c r="M38" s="172">
        <f t="shared" si="2"/>
        <v>944.76319999999998</v>
      </c>
      <c r="T38" t="s">
        <v>886</v>
      </c>
    </row>
    <row r="39" spans="1:20">
      <c r="A39" t="s">
        <v>878</v>
      </c>
      <c r="B39" t="s">
        <v>920</v>
      </c>
      <c r="C39" t="s">
        <v>807</v>
      </c>
      <c r="D39">
        <v>1000</v>
      </c>
      <c r="E39">
        <v>0</v>
      </c>
      <c r="G39" t="s">
        <v>926</v>
      </c>
      <c r="J39" s="172">
        <v>364.2</v>
      </c>
      <c r="K39" s="172">
        <f t="shared" si="0"/>
        <v>364200</v>
      </c>
      <c r="L39" s="172">
        <f t="shared" si="1"/>
        <v>0.36420000000000002</v>
      </c>
      <c r="M39" s="172">
        <f t="shared" si="2"/>
        <v>2858.9700000000003</v>
      </c>
      <c r="T39" t="s">
        <v>886</v>
      </c>
    </row>
    <row r="40" spans="1:20">
      <c r="A40" t="s">
        <v>878</v>
      </c>
      <c r="B40" t="s">
        <v>921</v>
      </c>
      <c r="C40" t="s">
        <v>807</v>
      </c>
      <c r="D40">
        <v>1000</v>
      </c>
      <c r="E40">
        <v>0</v>
      </c>
      <c r="G40" t="s">
        <v>926</v>
      </c>
      <c r="J40" s="172">
        <v>364.2</v>
      </c>
      <c r="K40" s="172">
        <f t="shared" si="0"/>
        <v>364200</v>
      </c>
      <c r="L40" s="172">
        <f t="shared" si="1"/>
        <v>0.36420000000000002</v>
      </c>
      <c r="M40" s="172">
        <f t="shared" si="2"/>
        <v>2858.9700000000003</v>
      </c>
      <c r="T40" t="s">
        <v>886</v>
      </c>
    </row>
    <row r="41" spans="1:20">
      <c r="A41" t="s">
        <v>878</v>
      </c>
      <c r="B41" t="s">
        <v>922</v>
      </c>
      <c r="C41" t="s">
        <v>807</v>
      </c>
      <c r="D41">
        <v>1000</v>
      </c>
      <c r="E41">
        <v>0</v>
      </c>
      <c r="G41" t="s">
        <v>927</v>
      </c>
      <c r="J41">
        <v>215.64</v>
      </c>
      <c r="K41" s="172">
        <f t="shared" si="0"/>
        <v>215640</v>
      </c>
      <c r="L41" s="172">
        <f t="shared" si="1"/>
        <v>0.21564</v>
      </c>
      <c r="M41" s="172">
        <f t="shared" si="2"/>
        <v>1692.7739999999999</v>
      </c>
      <c r="T41" t="s">
        <v>886</v>
      </c>
    </row>
    <row r="42" spans="1:20">
      <c r="A42" t="s">
        <v>878</v>
      </c>
      <c r="B42" t="s">
        <v>924</v>
      </c>
      <c r="C42" t="s">
        <v>807</v>
      </c>
      <c r="D42">
        <v>1000</v>
      </c>
      <c r="E42">
        <v>0</v>
      </c>
      <c r="G42" t="s">
        <v>927</v>
      </c>
      <c r="J42" s="172">
        <v>215.64</v>
      </c>
      <c r="K42" s="172">
        <f t="shared" si="0"/>
        <v>215640</v>
      </c>
      <c r="L42" s="172">
        <f t="shared" si="1"/>
        <v>0.21564</v>
      </c>
      <c r="M42" s="172">
        <f t="shared" si="2"/>
        <v>1692.7739999999999</v>
      </c>
      <c r="T42" t="s">
        <v>886</v>
      </c>
    </row>
    <row r="43" spans="1:20">
      <c r="A43" t="s">
        <v>878</v>
      </c>
      <c r="B43" t="s">
        <v>911</v>
      </c>
      <c r="C43" t="s">
        <v>807</v>
      </c>
      <c r="D43">
        <v>1000</v>
      </c>
      <c r="E43">
        <v>0</v>
      </c>
      <c r="G43" t="s">
        <v>925</v>
      </c>
      <c r="J43" s="172">
        <v>405.28</v>
      </c>
      <c r="K43" s="172">
        <f t="shared" si="0"/>
        <v>405280</v>
      </c>
      <c r="L43" s="172">
        <f t="shared" si="1"/>
        <v>0.40527999999999997</v>
      </c>
      <c r="M43" s="172">
        <f t="shared" si="2"/>
        <v>3181.4479999999999</v>
      </c>
      <c r="T43" t="s">
        <v>886</v>
      </c>
    </row>
    <row r="44" spans="1:20">
      <c r="A44" t="s">
        <v>878</v>
      </c>
      <c r="B44" t="s">
        <v>913</v>
      </c>
      <c r="C44" t="s">
        <v>807</v>
      </c>
      <c r="D44">
        <v>900</v>
      </c>
      <c r="E44">
        <v>0</v>
      </c>
      <c r="G44" t="s">
        <v>925</v>
      </c>
      <c r="J44" s="172">
        <v>405.28</v>
      </c>
      <c r="K44" s="172">
        <f t="shared" si="0"/>
        <v>364752</v>
      </c>
      <c r="L44" s="172">
        <f t="shared" si="1"/>
        <v>0.36475200000000002</v>
      </c>
      <c r="M44" s="172">
        <f t="shared" si="2"/>
        <v>2863.3032000000003</v>
      </c>
      <c r="T44" t="s">
        <v>886</v>
      </c>
    </row>
    <row r="45" spans="1:20">
      <c r="A45" t="s">
        <v>878</v>
      </c>
      <c r="B45" t="s">
        <v>914</v>
      </c>
      <c r="C45" t="s">
        <v>807</v>
      </c>
      <c r="D45">
        <v>900</v>
      </c>
      <c r="E45">
        <v>0</v>
      </c>
      <c r="G45" t="s">
        <v>925</v>
      </c>
      <c r="J45" s="172">
        <v>405.28</v>
      </c>
      <c r="K45" s="172">
        <f t="shared" si="0"/>
        <v>364752</v>
      </c>
      <c r="L45" s="172">
        <f t="shared" si="1"/>
        <v>0.36475200000000002</v>
      </c>
      <c r="M45" s="172">
        <f t="shared" si="2"/>
        <v>2863.3032000000003</v>
      </c>
      <c r="T45" t="s">
        <v>886</v>
      </c>
    </row>
    <row r="46" spans="1:20">
      <c r="A46" t="s">
        <v>878</v>
      </c>
      <c r="B46" t="s">
        <v>915</v>
      </c>
      <c r="C46" t="s">
        <v>807</v>
      </c>
      <c r="D46">
        <v>1000</v>
      </c>
      <c r="E46">
        <v>0</v>
      </c>
      <c r="G46" t="s">
        <v>925</v>
      </c>
      <c r="J46" s="172">
        <v>405.28</v>
      </c>
      <c r="K46" s="172">
        <f t="shared" si="0"/>
        <v>405280</v>
      </c>
      <c r="L46" s="172">
        <f t="shared" si="1"/>
        <v>0.40527999999999997</v>
      </c>
      <c r="M46" s="172">
        <f t="shared" si="2"/>
        <v>3181.4479999999999</v>
      </c>
      <c r="T46" t="s">
        <v>886</v>
      </c>
    </row>
    <row r="47" spans="1:20">
      <c r="A47" t="s">
        <v>878</v>
      </c>
      <c r="B47" t="s">
        <v>916</v>
      </c>
      <c r="C47" t="s">
        <v>807</v>
      </c>
      <c r="D47">
        <v>1000</v>
      </c>
      <c r="E47">
        <v>0</v>
      </c>
      <c r="G47" t="s">
        <v>925</v>
      </c>
      <c r="J47" s="172">
        <v>405.28</v>
      </c>
      <c r="K47" s="172">
        <f t="shared" si="0"/>
        <v>405280</v>
      </c>
      <c r="L47" s="172">
        <f t="shared" si="1"/>
        <v>0.40527999999999997</v>
      </c>
      <c r="M47" s="172">
        <f t="shared" si="2"/>
        <v>3181.4479999999999</v>
      </c>
      <c r="T47" t="s">
        <v>886</v>
      </c>
    </row>
    <row r="48" spans="1:20">
      <c r="A48" t="s">
        <v>878</v>
      </c>
      <c r="B48" t="s">
        <v>917</v>
      </c>
      <c r="C48" t="s">
        <v>807</v>
      </c>
      <c r="D48">
        <v>900</v>
      </c>
      <c r="E48">
        <v>0</v>
      </c>
      <c r="G48" t="s">
        <v>925</v>
      </c>
      <c r="J48" s="172">
        <v>405.28</v>
      </c>
      <c r="K48" s="172">
        <f t="shared" si="0"/>
        <v>364752</v>
      </c>
      <c r="L48" s="172">
        <f t="shared" si="1"/>
        <v>0.36475200000000002</v>
      </c>
      <c r="M48" s="172">
        <f t="shared" si="2"/>
        <v>2863.3032000000003</v>
      </c>
      <c r="T48" t="s">
        <v>886</v>
      </c>
    </row>
    <row r="49" spans="1:20">
      <c r="A49" t="s">
        <v>878</v>
      </c>
      <c r="B49" t="s">
        <v>918</v>
      </c>
      <c r="C49" t="s">
        <v>807</v>
      </c>
      <c r="D49">
        <v>900</v>
      </c>
      <c r="E49">
        <v>0</v>
      </c>
      <c r="G49" t="s">
        <v>925</v>
      </c>
      <c r="J49">
        <v>405.28</v>
      </c>
      <c r="K49" s="172">
        <f t="shared" si="0"/>
        <v>364752</v>
      </c>
      <c r="L49" s="172">
        <f t="shared" si="1"/>
        <v>0.36475200000000002</v>
      </c>
      <c r="M49" s="172">
        <f t="shared" si="2"/>
        <v>2863.3032000000003</v>
      </c>
      <c r="T49" t="s">
        <v>886</v>
      </c>
    </row>
    <row r="50" spans="1:20">
      <c r="A50" t="s">
        <v>878</v>
      </c>
      <c r="B50" t="s">
        <v>919</v>
      </c>
      <c r="C50" t="s">
        <v>807</v>
      </c>
      <c r="D50">
        <v>1000</v>
      </c>
      <c r="E50">
        <v>0</v>
      </c>
      <c r="G50" t="s">
        <v>925</v>
      </c>
      <c r="J50" s="172">
        <v>405.28</v>
      </c>
      <c r="K50" s="172">
        <f t="shared" si="0"/>
        <v>405280</v>
      </c>
      <c r="L50" s="172">
        <f t="shared" si="1"/>
        <v>0.40527999999999997</v>
      </c>
      <c r="M50" s="172">
        <f t="shared" si="2"/>
        <v>3181.4479999999999</v>
      </c>
      <c r="T50" t="s">
        <v>886</v>
      </c>
    </row>
    <row r="51" spans="1:20">
      <c r="A51" t="s">
        <v>878</v>
      </c>
      <c r="B51" t="s">
        <v>932</v>
      </c>
      <c r="C51" t="s">
        <v>808</v>
      </c>
      <c r="D51">
        <v>640.31200000000001</v>
      </c>
      <c r="E51">
        <v>0</v>
      </c>
      <c r="G51" t="s">
        <v>938</v>
      </c>
      <c r="J51" s="172">
        <v>60</v>
      </c>
      <c r="K51" s="172">
        <f t="shared" si="0"/>
        <v>38418.720000000001</v>
      </c>
      <c r="L51" s="172">
        <f t="shared" si="1"/>
        <v>3.8418720000000003E-2</v>
      </c>
      <c r="M51" s="172">
        <f t="shared" si="2"/>
        <v>301.58695200000005</v>
      </c>
      <c r="T51" t="s">
        <v>886</v>
      </c>
    </row>
    <row r="52" spans="1:20">
      <c r="A52" t="s">
        <v>878</v>
      </c>
      <c r="B52" t="s">
        <v>934</v>
      </c>
      <c r="C52" t="s">
        <v>808</v>
      </c>
      <c r="D52">
        <v>640.31200000000001</v>
      </c>
      <c r="E52">
        <v>0</v>
      </c>
      <c r="G52" t="s">
        <v>938</v>
      </c>
      <c r="J52" s="172">
        <v>60</v>
      </c>
      <c r="K52" s="172">
        <f t="shared" si="0"/>
        <v>38418.720000000001</v>
      </c>
      <c r="L52" s="172">
        <f t="shared" si="1"/>
        <v>3.8418720000000003E-2</v>
      </c>
      <c r="M52" s="172">
        <f t="shared" si="2"/>
        <v>301.58695200000005</v>
      </c>
      <c r="T52" t="s">
        <v>886</v>
      </c>
    </row>
    <row r="53" spans="1:20">
      <c r="A53" t="s">
        <v>878</v>
      </c>
      <c r="B53" t="s">
        <v>935</v>
      </c>
      <c r="C53" t="s">
        <v>808</v>
      </c>
      <c r="D53">
        <v>640.31200000000001</v>
      </c>
      <c r="E53">
        <v>0</v>
      </c>
      <c r="G53" t="s">
        <v>938</v>
      </c>
      <c r="J53" s="172">
        <v>60</v>
      </c>
      <c r="K53" s="172">
        <f t="shared" si="0"/>
        <v>38418.720000000001</v>
      </c>
      <c r="L53" s="172">
        <f t="shared" si="1"/>
        <v>3.8418720000000003E-2</v>
      </c>
      <c r="M53" s="172">
        <f t="shared" si="2"/>
        <v>301.58695200000005</v>
      </c>
      <c r="T53" t="s">
        <v>886</v>
      </c>
    </row>
    <row r="54" spans="1:20">
      <c r="A54" t="s">
        <v>878</v>
      </c>
      <c r="B54" t="s">
        <v>936</v>
      </c>
      <c r="C54" t="s">
        <v>808</v>
      </c>
      <c r="D54">
        <v>640.31200000000001</v>
      </c>
      <c r="E54">
        <v>0</v>
      </c>
      <c r="G54" t="s">
        <v>938</v>
      </c>
      <c r="J54" s="172">
        <v>60</v>
      </c>
      <c r="K54" s="172">
        <f t="shared" si="0"/>
        <v>38418.720000000001</v>
      </c>
      <c r="L54" s="172">
        <f t="shared" si="1"/>
        <v>3.8418720000000003E-2</v>
      </c>
      <c r="M54" s="172">
        <f t="shared" si="2"/>
        <v>301.58695200000005</v>
      </c>
      <c r="T54" t="s">
        <v>886</v>
      </c>
    </row>
    <row r="55" spans="1:20">
      <c r="A55" t="s">
        <v>878</v>
      </c>
      <c r="B55" t="s">
        <v>928</v>
      </c>
      <c r="C55" t="s">
        <v>808</v>
      </c>
      <c r="D55">
        <v>583.63099999999997</v>
      </c>
      <c r="E55">
        <v>0</v>
      </c>
      <c r="G55" t="s">
        <v>910</v>
      </c>
      <c r="J55" s="172">
        <v>340.2</v>
      </c>
      <c r="K55" s="172">
        <f t="shared" si="0"/>
        <v>198551.26619999998</v>
      </c>
      <c r="L55" s="172">
        <f t="shared" si="1"/>
        <v>0.19855126619999999</v>
      </c>
      <c r="M55" s="172">
        <f t="shared" si="2"/>
        <v>1558.6274396699998</v>
      </c>
      <c r="T55" t="s">
        <v>886</v>
      </c>
    </row>
    <row r="56" spans="1:20">
      <c r="A56" t="s">
        <v>878</v>
      </c>
      <c r="B56" t="s">
        <v>929</v>
      </c>
      <c r="C56" t="s">
        <v>808</v>
      </c>
      <c r="D56">
        <v>583.63099999999997</v>
      </c>
      <c r="E56">
        <v>0</v>
      </c>
      <c r="G56" t="s">
        <v>910</v>
      </c>
      <c r="J56" s="172">
        <v>340.2</v>
      </c>
      <c r="K56" s="172">
        <f t="shared" si="0"/>
        <v>198551.26619999998</v>
      </c>
      <c r="L56" s="172">
        <f t="shared" si="1"/>
        <v>0.19855126619999999</v>
      </c>
      <c r="M56" s="172">
        <f t="shared" si="2"/>
        <v>1558.6274396699998</v>
      </c>
      <c r="T56" t="s">
        <v>886</v>
      </c>
    </row>
    <row r="57" spans="1:20">
      <c r="A57" t="s">
        <v>878</v>
      </c>
      <c r="B57" t="s">
        <v>930</v>
      </c>
      <c r="C57" t="s">
        <v>808</v>
      </c>
      <c r="D57">
        <v>583.63099999999997</v>
      </c>
      <c r="E57">
        <v>0</v>
      </c>
      <c r="G57" t="s">
        <v>910</v>
      </c>
      <c r="J57">
        <v>340.2</v>
      </c>
      <c r="K57" s="172">
        <f t="shared" si="0"/>
        <v>198551.26619999998</v>
      </c>
      <c r="L57" s="172">
        <f t="shared" si="1"/>
        <v>0.19855126619999999</v>
      </c>
      <c r="M57" s="172">
        <f t="shared" si="2"/>
        <v>1558.6274396699998</v>
      </c>
      <c r="T57" t="s">
        <v>886</v>
      </c>
    </row>
    <row r="58" spans="1:20">
      <c r="A58" t="s">
        <v>878</v>
      </c>
      <c r="B58" t="s">
        <v>931</v>
      </c>
      <c r="C58" t="s">
        <v>808</v>
      </c>
      <c r="D58">
        <v>583.63099999999997</v>
      </c>
      <c r="E58">
        <v>0</v>
      </c>
      <c r="G58" t="s">
        <v>910</v>
      </c>
      <c r="J58" s="172">
        <v>340.2</v>
      </c>
      <c r="K58" s="172">
        <f t="shared" si="0"/>
        <v>198551.26619999998</v>
      </c>
      <c r="L58" s="172">
        <f t="shared" si="1"/>
        <v>0.19855126619999999</v>
      </c>
      <c r="M58" s="172">
        <f t="shared" si="2"/>
        <v>1558.6274396699998</v>
      </c>
      <c r="T58" t="s">
        <v>886</v>
      </c>
    </row>
    <row r="59" spans="1:20">
      <c r="A59" t="s">
        <v>878</v>
      </c>
      <c r="B59" t="s">
        <v>884</v>
      </c>
      <c r="C59" t="s">
        <v>805</v>
      </c>
      <c r="D59">
        <v>400</v>
      </c>
      <c r="E59">
        <v>0</v>
      </c>
      <c r="G59" t="s">
        <v>907</v>
      </c>
      <c r="J59" s="172">
        <v>1700</v>
      </c>
      <c r="K59" s="172">
        <f t="shared" si="0"/>
        <v>680000</v>
      </c>
      <c r="L59" s="172">
        <f t="shared" si="1"/>
        <v>0.68</v>
      </c>
      <c r="M59" s="172">
        <f t="shared" si="2"/>
        <v>5338</v>
      </c>
      <c r="T59" t="s">
        <v>886</v>
      </c>
    </row>
    <row r="60" spans="1:20">
      <c r="A60" t="s">
        <v>878</v>
      </c>
      <c r="B60" t="s">
        <v>887</v>
      </c>
      <c r="C60" t="s">
        <v>805</v>
      </c>
      <c r="D60">
        <v>400</v>
      </c>
      <c r="E60">
        <v>0</v>
      </c>
      <c r="G60" t="s">
        <v>907</v>
      </c>
      <c r="J60" s="172">
        <v>1700</v>
      </c>
      <c r="K60" s="172">
        <f t="shared" si="0"/>
        <v>680000</v>
      </c>
      <c r="L60" s="172">
        <f t="shared" si="1"/>
        <v>0.68</v>
      </c>
      <c r="M60" s="172">
        <f t="shared" si="2"/>
        <v>5338</v>
      </c>
      <c r="T60" t="s">
        <v>886</v>
      </c>
    </row>
    <row r="61" spans="1:20">
      <c r="A61" t="s">
        <v>878</v>
      </c>
      <c r="B61" t="s">
        <v>895</v>
      </c>
      <c r="C61" t="s">
        <v>805</v>
      </c>
      <c r="D61">
        <v>400</v>
      </c>
      <c r="E61">
        <v>0</v>
      </c>
      <c r="G61" t="s">
        <v>907</v>
      </c>
      <c r="J61" s="172">
        <v>1700</v>
      </c>
      <c r="K61" s="172">
        <f t="shared" si="0"/>
        <v>680000</v>
      </c>
      <c r="L61" s="172">
        <f t="shared" si="1"/>
        <v>0.68</v>
      </c>
      <c r="M61" s="172">
        <f t="shared" si="2"/>
        <v>5338</v>
      </c>
      <c r="T61" t="s">
        <v>886</v>
      </c>
    </row>
    <row r="62" spans="1:20">
      <c r="A62" t="s">
        <v>878</v>
      </c>
      <c r="B62" t="s">
        <v>896</v>
      </c>
      <c r="C62" t="s">
        <v>805</v>
      </c>
      <c r="D62">
        <v>400</v>
      </c>
      <c r="E62">
        <v>0</v>
      </c>
      <c r="G62" t="s">
        <v>907</v>
      </c>
      <c r="J62" s="172">
        <v>1700</v>
      </c>
      <c r="K62" s="172">
        <f t="shared" si="0"/>
        <v>680000</v>
      </c>
      <c r="L62" s="172">
        <f t="shared" si="1"/>
        <v>0.68</v>
      </c>
      <c r="M62" s="172">
        <f t="shared" si="2"/>
        <v>5338</v>
      </c>
      <c r="T62" t="s">
        <v>886</v>
      </c>
    </row>
    <row r="63" spans="1:20">
      <c r="A63" t="s">
        <v>878</v>
      </c>
      <c r="B63" t="s">
        <v>897</v>
      </c>
      <c r="C63" t="s">
        <v>805</v>
      </c>
      <c r="D63">
        <v>400</v>
      </c>
      <c r="E63">
        <v>0</v>
      </c>
      <c r="G63" t="s">
        <v>910</v>
      </c>
      <c r="J63" s="172">
        <v>340.2</v>
      </c>
      <c r="K63" s="172">
        <f t="shared" si="0"/>
        <v>136080</v>
      </c>
      <c r="L63" s="172">
        <f t="shared" si="1"/>
        <v>0.13608000000000001</v>
      </c>
      <c r="M63" s="172">
        <f t="shared" si="2"/>
        <v>1068.2280000000001</v>
      </c>
      <c r="T63" t="s">
        <v>886</v>
      </c>
    </row>
    <row r="64" spans="1:20">
      <c r="A64" t="s">
        <v>878</v>
      </c>
      <c r="B64" t="s">
        <v>899</v>
      </c>
      <c r="C64" t="s">
        <v>805</v>
      </c>
      <c r="D64">
        <v>400</v>
      </c>
      <c r="E64">
        <v>0</v>
      </c>
      <c r="G64" t="s">
        <v>910</v>
      </c>
      <c r="J64" s="172">
        <v>340.2</v>
      </c>
      <c r="K64" s="172">
        <f t="shared" si="0"/>
        <v>136080</v>
      </c>
      <c r="L64" s="172">
        <f t="shared" si="1"/>
        <v>0.13608000000000001</v>
      </c>
      <c r="M64" s="172">
        <f t="shared" si="2"/>
        <v>1068.2280000000001</v>
      </c>
      <c r="T64" t="s">
        <v>886</v>
      </c>
    </row>
    <row r="65" spans="1:20">
      <c r="A65" t="s">
        <v>878</v>
      </c>
      <c r="B65" t="s">
        <v>900</v>
      </c>
      <c r="C65" t="s">
        <v>805</v>
      </c>
      <c r="D65">
        <v>400</v>
      </c>
      <c r="E65">
        <v>0</v>
      </c>
      <c r="G65" t="s">
        <v>910</v>
      </c>
      <c r="J65" s="172">
        <v>340.2</v>
      </c>
      <c r="K65" s="172">
        <f t="shared" ref="K65:K128" si="5">J65*D65</f>
        <v>136080</v>
      </c>
      <c r="L65" s="172">
        <f t="shared" ref="L65:L128" si="6">K65/1000000</f>
        <v>0.13608000000000001</v>
      </c>
      <c r="M65" s="172">
        <f t="shared" ref="M65:M128" si="7">L65*7850</f>
        <v>1068.2280000000001</v>
      </c>
      <c r="T65" t="s">
        <v>886</v>
      </c>
    </row>
    <row r="66" spans="1:20">
      <c r="A66" t="s">
        <v>878</v>
      </c>
      <c r="B66" t="s">
        <v>901</v>
      </c>
      <c r="C66" t="s">
        <v>805</v>
      </c>
      <c r="D66">
        <v>400</v>
      </c>
      <c r="E66">
        <v>0</v>
      </c>
      <c r="G66" t="s">
        <v>910</v>
      </c>
      <c r="J66" s="172">
        <v>340.2</v>
      </c>
      <c r="K66" s="172">
        <f t="shared" si="5"/>
        <v>136080</v>
      </c>
      <c r="L66" s="172">
        <f t="shared" si="6"/>
        <v>0.13608000000000001</v>
      </c>
      <c r="M66" s="172">
        <f t="shared" si="7"/>
        <v>1068.2280000000001</v>
      </c>
      <c r="T66" t="s">
        <v>886</v>
      </c>
    </row>
    <row r="67" spans="1:20">
      <c r="A67" t="s">
        <v>878</v>
      </c>
      <c r="B67" t="s">
        <v>888</v>
      </c>
      <c r="C67" t="s">
        <v>805</v>
      </c>
      <c r="D67">
        <v>400</v>
      </c>
      <c r="E67">
        <v>0</v>
      </c>
      <c r="G67" t="s">
        <v>908</v>
      </c>
      <c r="J67" s="172">
        <v>300.88</v>
      </c>
      <c r="K67" s="172">
        <f t="shared" si="5"/>
        <v>120352</v>
      </c>
      <c r="L67" s="172">
        <f t="shared" si="6"/>
        <v>0.120352</v>
      </c>
      <c r="M67" s="172">
        <f t="shared" si="7"/>
        <v>944.76319999999998</v>
      </c>
      <c r="T67" t="s">
        <v>886</v>
      </c>
    </row>
    <row r="68" spans="1:20">
      <c r="A68" t="s">
        <v>878</v>
      </c>
      <c r="B68" t="s">
        <v>890</v>
      </c>
      <c r="C68" t="s">
        <v>805</v>
      </c>
      <c r="D68">
        <v>400</v>
      </c>
      <c r="E68">
        <v>0</v>
      </c>
      <c r="G68" t="s">
        <v>908</v>
      </c>
      <c r="J68" s="172">
        <v>300.88</v>
      </c>
      <c r="K68" s="172">
        <f t="shared" si="5"/>
        <v>120352</v>
      </c>
      <c r="L68" s="172">
        <f t="shared" si="6"/>
        <v>0.120352</v>
      </c>
      <c r="M68" s="172">
        <f t="shared" si="7"/>
        <v>944.76319999999998</v>
      </c>
      <c r="T68" t="s">
        <v>886</v>
      </c>
    </row>
    <row r="69" spans="1:20">
      <c r="A69" t="s">
        <v>878</v>
      </c>
      <c r="B69" t="s">
        <v>891</v>
      </c>
      <c r="C69" t="s">
        <v>805</v>
      </c>
      <c r="D69">
        <v>400</v>
      </c>
      <c r="E69">
        <v>0</v>
      </c>
      <c r="G69" t="s">
        <v>908</v>
      </c>
      <c r="J69" s="172">
        <v>300.88</v>
      </c>
      <c r="K69" s="172">
        <f t="shared" si="5"/>
        <v>120352</v>
      </c>
      <c r="L69" s="172">
        <f t="shared" si="6"/>
        <v>0.120352</v>
      </c>
      <c r="M69" s="172">
        <f t="shared" si="7"/>
        <v>944.76319999999998</v>
      </c>
      <c r="T69" t="s">
        <v>886</v>
      </c>
    </row>
    <row r="70" spans="1:20">
      <c r="A70" t="s">
        <v>878</v>
      </c>
      <c r="B70" t="s">
        <v>892</v>
      </c>
      <c r="C70" t="s">
        <v>805</v>
      </c>
      <c r="D70">
        <v>400</v>
      </c>
      <c r="E70">
        <v>0</v>
      </c>
      <c r="G70" t="s">
        <v>908</v>
      </c>
      <c r="J70" s="172">
        <v>300.88</v>
      </c>
      <c r="K70" s="172">
        <f t="shared" si="5"/>
        <v>120352</v>
      </c>
      <c r="L70" s="172">
        <f t="shared" si="6"/>
        <v>0.120352</v>
      </c>
      <c r="M70" s="172">
        <f t="shared" si="7"/>
        <v>944.76319999999998</v>
      </c>
      <c r="T70" t="s">
        <v>886</v>
      </c>
    </row>
    <row r="71" spans="1:20">
      <c r="A71" t="s">
        <v>878</v>
      </c>
      <c r="B71" t="s">
        <v>893</v>
      </c>
      <c r="C71" t="s">
        <v>805</v>
      </c>
      <c r="D71">
        <v>400</v>
      </c>
      <c r="E71">
        <v>0</v>
      </c>
      <c r="G71" t="s">
        <v>908</v>
      </c>
      <c r="J71" s="172">
        <v>300.88</v>
      </c>
      <c r="K71" s="172">
        <f t="shared" si="5"/>
        <v>120352</v>
      </c>
      <c r="L71" s="172">
        <f t="shared" si="6"/>
        <v>0.120352</v>
      </c>
      <c r="M71" s="172">
        <f t="shared" si="7"/>
        <v>944.76319999999998</v>
      </c>
      <c r="T71" t="s">
        <v>886</v>
      </c>
    </row>
    <row r="72" spans="1:20">
      <c r="A72" t="s">
        <v>878</v>
      </c>
      <c r="B72" t="s">
        <v>894</v>
      </c>
      <c r="C72" t="s">
        <v>805</v>
      </c>
      <c r="D72">
        <v>400</v>
      </c>
      <c r="E72">
        <v>0</v>
      </c>
      <c r="G72" t="s">
        <v>908</v>
      </c>
      <c r="J72" s="172">
        <v>300.88</v>
      </c>
      <c r="K72" s="172">
        <f t="shared" si="5"/>
        <v>120352</v>
      </c>
      <c r="L72" s="172">
        <f t="shared" si="6"/>
        <v>0.120352</v>
      </c>
      <c r="M72" s="172">
        <f t="shared" si="7"/>
        <v>944.76319999999998</v>
      </c>
      <c r="T72" t="s">
        <v>886</v>
      </c>
    </row>
    <row r="73" spans="1:20">
      <c r="A73" t="s">
        <v>878</v>
      </c>
      <c r="B73" t="s">
        <v>902</v>
      </c>
      <c r="C73" t="s">
        <v>805</v>
      </c>
      <c r="D73">
        <v>400</v>
      </c>
      <c r="E73">
        <v>0</v>
      </c>
      <c r="G73" t="s">
        <v>908</v>
      </c>
      <c r="J73" s="172">
        <v>300.88</v>
      </c>
      <c r="K73" s="172">
        <f t="shared" si="5"/>
        <v>120352</v>
      </c>
      <c r="L73" s="172">
        <f t="shared" si="6"/>
        <v>0.120352</v>
      </c>
      <c r="M73" s="172">
        <f t="shared" si="7"/>
        <v>944.76319999999998</v>
      </c>
      <c r="T73" t="s">
        <v>886</v>
      </c>
    </row>
    <row r="74" spans="1:20">
      <c r="A74" t="s">
        <v>878</v>
      </c>
      <c r="B74" t="s">
        <v>904</v>
      </c>
      <c r="C74" t="s">
        <v>805</v>
      </c>
      <c r="D74">
        <v>400</v>
      </c>
      <c r="E74">
        <v>0</v>
      </c>
      <c r="G74" t="s">
        <v>908</v>
      </c>
      <c r="J74" s="172">
        <v>300.88</v>
      </c>
      <c r="K74" s="172">
        <f t="shared" si="5"/>
        <v>120352</v>
      </c>
      <c r="L74" s="172">
        <f t="shared" si="6"/>
        <v>0.120352</v>
      </c>
      <c r="M74" s="172">
        <f t="shared" si="7"/>
        <v>944.76319999999998</v>
      </c>
      <c r="T74" t="s">
        <v>886</v>
      </c>
    </row>
    <row r="75" spans="1:20">
      <c r="A75" t="s">
        <v>878</v>
      </c>
      <c r="B75" t="s">
        <v>905</v>
      </c>
      <c r="C75" t="s">
        <v>805</v>
      </c>
      <c r="D75">
        <v>400</v>
      </c>
      <c r="E75">
        <v>0</v>
      </c>
      <c r="G75" t="s">
        <v>908</v>
      </c>
      <c r="J75" s="172">
        <v>300.88</v>
      </c>
      <c r="K75" s="172">
        <f t="shared" si="5"/>
        <v>120352</v>
      </c>
      <c r="L75" s="172">
        <f t="shared" si="6"/>
        <v>0.120352</v>
      </c>
      <c r="M75" s="172">
        <f t="shared" si="7"/>
        <v>944.76319999999998</v>
      </c>
      <c r="T75" t="s">
        <v>886</v>
      </c>
    </row>
    <row r="76" spans="1:20">
      <c r="A76" t="s">
        <v>878</v>
      </c>
      <c r="B76" t="s">
        <v>906</v>
      </c>
      <c r="C76" t="s">
        <v>805</v>
      </c>
      <c r="D76">
        <v>400</v>
      </c>
      <c r="E76">
        <v>0</v>
      </c>
      <c r="G76" t="s">
        <v>908</v>
      </c>
      <c r="J76" s="172">
        <v>300.88</v>
      </c>
      <c r="K76" s="172">
        <f t="shared" si="5"/>
        <v>120352</v>
      </c>
      <c r="L76" s="172">
        <f t="shared" si="6"/>
        <v>0.120352</v>
      </c>
      <c r="M76" s="172">
        <f t="shared" si="7"/>
        <v>944.76319999999998</v>
      </c>
      <c r="T76" t="s">
        <v>886</v>
      </c>
    </row>
    <row r="77" spans="1:20">
      <c r="A77" t="s">
        <v>875</v>
      </c>
      <c r="B77" t="s">
        <v>920</v>
      </c>
      <c r="C77" t="s">
        <v>807</v>
      </c>
      <c r="D77">
        <v>1000</v>
      </c>
      <c r="E77">
        <v>0</v>
      </c>
      <c r="G77" t="s">
        <v>909</v>
      </c>
      <c r="J77" s="172">
        <v>152.44</v>
      </c>
      <c r="K77" s="172">
        <f t="shared" si="5"/>
        <v>152440</v>
      </c>
      <c r="L77" s="172">
        <f t="shared" si="6"/>
        <v>0.15243999999999999</v>
      </c>
      <c r="M77" s="172">
        <f t="shared" si="7"/>
        <v>1196.654</v>
      </c>
      <c r="T77" t="s">
        <v>886</v>
      </c>
    </row>
    <row r="78" spans="1:20">
      <c r="A78" t="s">
        <v>875</v>
      </c>
      <c r="B78" t="s">
        <v>921</v>
      </c>
      <c r="C78" t="s">
        <v>807</v>
      </c>
      <c r="D78">
        <v>1000</v>
      </c>
      <c r="E78">
        <v>0</v>
      </c>
      <c r="G78" t="s">
        <v>909</v>
      </c>
      <c r="J78" s="172">
        <v>152.44</v>
      </c>
      <c r="K78" s="172">
        <f t="shared" si="5"/>
        <v>152440</v>
      </c>
      <c r="L78" s="172">
        <f t="shared" si="6"/>
        <v>0.15243999999999999</v>
      </c>
      <c r="M78" s="172">
        <f t="shared" si="7"/>
        <v>1196.654</v>
      </c>
      <c r="T78" t="s">
        <v>886</v>
      </c>
    </row>
    <row r="79" spans="1:20">
      <c r="A79" t="s">
        <v>875</v>
      </c>
      <c r="B79" t="s">
        <v>922</v>
      </c>
      <c r="C79" t="s">
        <v>807</v>
      </c>
      <c r="D79">
        <v>1000</v>
      </c>
      <c r="E79">
        <v>0</v>
      </c>
      <c r="G79" t="s">
        <v>909</v>
      </c>
      <c r="J79" s="172">
        <v>152.44</v>
      </c>
      <c r="K79" s="172">
        <f t="shared" si="5"/>
        <v>152440</v>
      </c>
      <c r="L79" s="172">
        <f t="shared" si="6"/>
        <v>0.15243999999999999</v>
      </c>
      <c r="M79" s="172">
        <f t="shared" si="7"/>
        <v>1196.654</v>
      </c>
      <c r="T79" t="s">
        <v>886</v>
      </c>
    </row>
    <row r="80" spans="1:20">
      <c r="A80" t="s">
        <v>875</v>
      </c>
      <c r="B80" t="s">
        <v>924</v>
      </c>
      <c r="C80" t="s">
        <v>807</v>
      </c>
      <c r="D80">
        <v>1000</v>
      </c>
      <c r="E80">
        <v>0</v>
      </c>
      <c r="G80" t="s">
        <v>909</v>
      </c>
      <c r="J80" s="172">
        <v>152.44</v>
      </c>
      <c r="K80" s="172">
        <f t="shared" si="5"/>
        <v>152440</v>
      </c>
      <c r="L80" s="172">
        <f t="shared" si="6"/>
        <v>0.15243999999999999</v>
      </c>
      <c r="M80" s="172">
        <f t="shared" si="7"/>
        <v>1196.654</v>
      </c>
      <c r="T80" t="s">
        <v>886</v>
      </c>
    </row>
    <row r="81" spans="1:20">
      <c r="A81" t="s">
        <v>875</v>
      </c>
      <c r="B81" t="s">
        <v>911</v>
      </c>
      <c r="C81" t="s">
        <v>807</v>
      </c>
      <c r="D81">
        <v>1000</v>
      </c>
      <c r="E81">
        <v>0</v>
      </c>
      <c r="G81" t="s">
        <v>910</v>
      </c>
      <c r="J81" s="172">
        <v>340.2</v>
      </c>
      <c r="K81" s="172">
        <f t="shared" si="5"/>
        <v>340200</v>
      </c>
      <c r="L81" s="172">
        <f t="shared" si="6"/>
        <v>0.3402</v>
      </c>
      <c r="M81" s="172">
        <f t="shared" si="7"/>
        <v>2670.57</v>
      </c>
      <c r="T81" t="s">
        <v>886</v>
      </c>
    </row>
    <row r="82" spans="1:20">
      <c r="A82" t="s">
        <v>875</v>
      </c>
      <c r="B82" t="s">
        <v>913</v>
      </c>
      <c r="C82" t="s">
        <v>807</v>
      </c>
      <c r="D82">
        <v>900</v>
      </c>
      <c r="E82">
        <v>0</v>
      </c>
      <c r="G82" t="s">
        <v>910</v>
      </c>
      <c r="J82" s="172">
        <v>340.2</v>
      </c>
      <c r="K82" s="172">
        <f t="shared" si="5"/>
        <v>306180</v>
      </c>
      <c r="L82" s="172">
        <f t="shared" si="6"/>
        <v>0.30618000000000001</v>
      </c>
      <c r="M82" s="172">
        <f t="shared" si="7"/>
        <v>2403.5129999999999</v>
      </c>
      <c r="T82" t="s">
        <v>886</v>
      </c>
    </row>
    <row r="83" spans="1:20">
      <c r="A83" t="s">
        <v>875</v>
      </c>
      <c r="B83" t="s">
        <v>914</v>
      </c>
      <c r="C83" t="s">
        <v>807</v>
      </c>
      <c r="D83">
        <v>900</v>
      </c>
      <c r="E83">
        <v>0</v>
      </c>
      <c r="G83" t="s">
        <v>910</v>
      </c>
      <c r="J83" s="172">
        <v>340.2</v>
      </c>
      <c r="K83" s="172">
        <f t="shared" si="5"/>
        <v>306180</v>
      </c>
      <c r="L83" s="172">
        <f t="shared" si="6"/>
        <v>0.30618000000000001</v>
      </c>
      <c r="M83" s="172">
        <f t="shared" si="7"/>
        <v>2403.5129999999999</v>
      </c>
      <c r="T83" t="s">
        <v>886</v>
      </c>
    </row>
    <row r="84" spans="1:20">
      <c r="A84" t="s">
        <v>875</v>
      </c>
      <c r="B84" t="s">
        <v>915</v>
      </c>
      <c r="C84" t="s">
        <v>807</v>
      </c>
      <c r="D84">
        <v>1000</v>
      </c>
      <c r="E84">
        <v>0</v>
      </c>
      <c r="G84" t="s">
        <v>910</v>
      </c>
      <c r="J84" s="172">
        <v>340.2</v>
      </c>
      <c r="K84" s="172">
        <f t="shared" si="5"/>
        <v>340200</v>
      </c>
      <c r="L84" s="172">
        <f t="shared" si="6"/>
        <v>0.3402</v>
      </c>
      <c r="M84" s="172">
        <f t="shared" si="7"/>
        <v>2670.57</v>
      </c>
      <c r="T84" t="s">
        <v>886</v>
      </c>
    </row>
    <row r="85" spans="1:20">
      <c r="A85" t="s">
        <v>875</v>
      </c>
      <c r="B85" t="s">
        <v>916</v>
      </c>
      <c r="C85" t="s">
        <v>807</v>
      </c>
      <c r="D85">
        <v>1000</v>
      </c>
      <c r="E85">
        <v>0</v>
      </c>
      <c r="G85" t="s">
        <v>910</v>
      </c>
      <c r="J85" s="172">
        <v>340.2</v>
      </c>
      <c r="K85" s="172">
        <f t="shared" si="5"/>
        <v>340200</v>
      </c>
      <c r="L85" s="172">
        <f t="shared" si="6"/>
        <v>0.3402</v>
      </c>
      <c r="M85" s="172">
        <f t="shared" si="7"/>
        <v>2670.57</v>
      </c>
      <c r="T85" t="s">
        <v>886</v>
      </c>
    </row>
    <row r="86" spans="1:20">
      <c r="A86" t="s">
        <v>875</v>
      </c>
      <c r="B86" t="s">
        <v>917</v>
      </c>
      <c r="C86" t="s">
        <v>807</v>
      </c>
      <c r="D86">
        <v>900</v>
      </c>
      <c r="E86">
        <v>0</v>
      </c>
      <c r="G86" t="s">
        <v>910</v>
      </c>
      <c r="J86" s="172">
        <v>340.2</v>
      </c>
      <c r="K86" s="172">
        <f t="shared" si="5"/>
        <v>306180</v>
      </c>
      <c r="L86" s="172">
        <f t="shared" si="6"/>
        <v>0.30618000000000001</v>
      </c>
      <c r="M86" s="172">
        <f t="shared" si="7"/>
        <v>2403.5129999999999</v>
      </c>
      <c r="T86" t="s">
        <v>886</v>
      </c>
    </row>
    <row r="87" spans="1:20">
      <c r="A87" t="s">
        <v>875</v>
      </c>
      <c r="B87" t="s">
        <v>918</v>
      </c>
      <c r="C87" t="s">
        <v>807</v>
      </c>
      <c r="D87">
        <v>900</v>
      </c>
      <c r="E87">
        <v>0</v>
      </c>
      <c r="G87" t="s">
        <v>910</v>
      </c>
      <c r="J87" s="172">
        <v>340.2</v>
      </c>
      <c r="K87" s="172">
        <f t="shared" si="5"/>
        <v>306180</v>
      </c>
      <c r="L87" s="172">
        <f t="shared" si="6"/>
        <v>0.30618000000000001</v>
      </c>
      <c r="M87" s="172">
        <f t="shared" si="7"/>
        <v>2403.5129999999999</v>
      </c>
      <c r="T87" t="s">
        <v>886</v>
      </c>
    </row>
    <row r="88" spans="1:20">
      <c r="A88" t="s">
        <v>875</v>
      </c>
      <c r="B88" t="s">
        <v>919</v>
      </c>
      <c r="C88" t="s">
        <v>807</v>
      </c>
      <c r="D88">
        <v>1000</v>
      </c>
      <c r="E88">
        <v>0</v>
      </c>
      <c r="G88" t="s">
        <v>910</v>
      </c>
      <c r="J88" s="172">
        <v>340.2</v>
      </c>
      <c r="K88" s="172">
        <f t="shared" si="5"/>
        <v>340200</v>
      </c>
      <c r="L88" s="172">
        <f t="shared" si="6"/>
        <v>0.3402</v>
      </c>
      <c r="M88" s="172">
        <f t="shared" si="7"/>
        <v>2670.57</v>
      </c>
      <c r="T88" t="s">
        <v>886</v>
      </c>
    </row>
    <row r="89" spans="1:20">
      <c r="A89" t="s">
        <v>875</v>
      </c>
      <c r="B89" t="s">
        <v>932</v>
      </c>
      <c r="C89" t="s">
        <v>808</v>
      </c>
      <c r="D89">
        <v>640.31200000000001</v>
      </c>
      <c r="E89">
        <v>0</v>
      </c>
      <c r="G89" t="s">
        <v>937</v>
      </c>
      <c r="J89" s="172">
        <v>40</v>
      </c>
      <c r="K89" s="172">
        <f t="shared" si="5"/>
        <v>25612.48</v>
      </c>
      <c r="L89" s="172">
        <f t="shared" si="6"/>
        <v>2.561248E-2</v>
      </c>
      <c r="M89" s="172">
        <f t="shared" si="7"/>
        <v>201.05796799999999</v>
      </c>
      <c r="T89" t="s">
        <v>886</v>
      </c>
    </row>
    <row r="90" spans="1:20">
      <c r="A90" t="s">
        <v>875</v>
      </c>
      <c r="B90" t="s">
        <v>934</v>
      </c>
      <c r="C90" t="s">
        <v>808</v>
      </c>
      <c r="D90">
        <v>640.31200000000001</v>
      </c>
      <c r="E90">
        <v>0</v>
      </c>
      <c r="G90" t="s">
        <v>937</v>
      </c>
      <c r="J90" s="172">
        <v>40</v>
      </c>
      <c r="K90" s="172">
        <f t="shared" si="5"/>
        <v>25612.48</v>
      </c>
      <c r="L90" s="172">
        <f t="shared" si="6"/>
        <v>2.561248E-2</v>
      </c>
      <c r="M90" s="172">
        <f t="shared" si="7"/>
        <v>201.05796799999999</v>
      </c>
      <c r="T90" t="s">
        <v>886</v>
      </c>
    </row>
    <row r="91" spans="1:20">
      <c r="A91" t="s">
        <v>875</v>
      </c>
      <c r="B91" t="s">
        <v>935</v>
      </c>
      <c r="C91" t="s">
        <v>808</v>
      </c>
      <c r="D91">
        <v>640.31200000000001</v>
      </c>
      <c r="E91">
        <v>0</v>
      </c>
      <c r="G91" t="s">
        <v>937</v>
      </c>
      <c r="J91" s="172">
        <v>40</v>
      </c>
      <c r="K91" s="172">
        <f t="shared" si="5"/>
        <v>25612.48</v>
      </c>
      <c r="L91" s="172">
        <f t="shared" si="6"/>
        <v>2.561248E-2</v>
      </c>
      <c r="M91" s="172">
        <f t="shared" si="7"/>
        <v>201.05796799999999</v>
      </c>
      <c r="T91" t="s">
        <v>886</v>
      </c>
    </row>
    <row r="92" spans="1:20">
      <c r="A92" t="s">
        <v>875</v>
      </c>
      <c r="B92" t="s">
        <v>936</v>
      </c>
      <c r="C92" t="s">
        <v>808</v>
      </c>
      <c r="D92">
        <v>640.31200000000001</v>
      </c>
      <c r="E92">
        <v>0</v>
      </c>
      <c r="G92" t="s">
        <v>937</v>
      </c>
      <c r="J92" s="172">
        <v>40</v>
      </c>
      <c r="K92" s="172">
        <f t="shared" si="5"/>
        <v>25612.48</v>
      </c>
      <c r="L92" s="172">
        <f t="shared" si="6"/>
        <v>2.561248E-2</v>
      </c>
      <c r="M92" s="172">
        <f t="shared" si="7"/>
        <v>201.05796799999999</v>
      </c>
      <c r="T92" t="s">
        <v>886</v>
      </c>
    </row>
    <row r="93" spans="1:20">
      <c r="A93" t="s">
        <v>875</v>
      </c>
      <c r="B93" t="s">
        <v>928</v>
      </c>
      <c r="C93" t="s">
        <v>808</v>
      </c>
      <c r="D93">
        <v>583.63099999999997</v>
      </c>
      <c r="E93">
        <v>0</v>
      </c>
      <c r="G93" t="s">
        <v>909</v>
      </c>
      <c r="J93">
        <v>152.44</v>
      </c>
      <c r="K93" s="172">
        <f t="shared" si="5"/>
        <v>88968.709640000001</v>
      </c>
      <c r="L93" s="172">
        <f t="shared" si="6"/>
        <v>8.8968709640000004E-2</v>
      </c>
      <c r="M93" s="172">
        <f t="shared" si="7"/>
        <v>698.40437067400001</v>
      </c>
      <c r="T93" t="s">
        <v>886</v>
      </c>
    </row>
    <row r="94" spans="1:20">
      <c r="A94" t="s">
        <v>875</v>
      </c>
      <c r="B94" t="s">
        <v>929</v>
      </c>
      <c r="C94" t="s">
        <v>808</v>
      </c>
      <c r="D94">
        <v>583.63099999999997</v>
      </c>
      <c r="E94">
        <v>0</v>
      </c>
      <c r="G94" t="s">
        <v>909</v>
      </c>
      <c r="J94" s="172">
        <v>152.44</v>
      </c>
      <c r="K94" s="172">
        <f t="shared" si="5"/>
        <v>88968.709640000001</v>
      </c>
      <c r="L94" s="172">
        <f t="shared" si="6"/>
        <v>8.8968709640000004E-2</v>
      </c>
      <c r="M94" s="172">
        <f t="shared" si="7"/>
        <v>698.40437067400001</v>
      </c>
      <c r="T94" t="s">
        <v>886</v>
      </c>
    </row>
    <row r="95" spans="1:20">
      <c r="A95" t="s">
        <v>875</v>
      </c>
      <c r="B95" t="s">
        <v>930</v>
      </c>
      <c r="C95" t="s">
        <v>808</v>
      </c>
      <c r="D95">
        <v>583.63099999999997</v>
      </c>
      <c r="E95">
        <v>0</v>
      </c>
      <c r="G95" t="s">
        <v>909</v>
      </c>
      <c r="J95" s="172">
        <v>152.44</v>
      </c>
      <c r="K95" s="172">
        <f t="shared" si="5"/>
        <v>88968.709640000001</v>
      </c>
      <c r="L95" s="172">
        <f t="shared" si="6"/>
        <v>8.8968709640000004E-2</v>
      </c>
      <c r="M95" s="172">
        <f t="shared" si="7"/>
        <v>698.40437067400001</v>
      </c>
      <c r="T95" t="s">
        <v>886</v>
      </c>
    </row>
    <row r="96" spans="1:20">
      <c r="A96" t="s">
        <v>875</v>
      </c>
      <c r="B96" t="s">
        <v>931</v>
      </c>
      <c r="C96" t="s">
        <v>808</v>
      </c>
      <c r="D96">
        <v>583.63099999999997</v>
      </c>
      <c r="E96">
        <v>0</v>
      </c>
      <c r="G96" t="s">
        <v>909</v>
      </c>
      <c r="J96" s="172">
        <v>152.44</v>
      </c>
      <c r="K96" s="172">
        <f t="shared" si="5"/>
        <v>88968.709640000001</v>
      </c>
      <c r="L96" s="172">
        <f t="shared" si="6"/>
        <v>8.8968709640000004E-2</v>
      </c>
      <c r="M96" s="172">
        <f t="shared" si="7"/>
        <v>698.40437067400001</v>
      </c>
      <c r="T96" t="s">
        <v>886</v>
      </c>
    </row>
    <row r="97" spans="1:20">
      <c r="A97" t="s">
        <v>875</v>
      </c>
      <c r="B97" t="s">
        <v>884</v>
      </c>
      <c r="C97" t="s">
        <v>805</v>
      </c>
      <c r="D97">
        <v>400</v>
      </c>
      <c r="E97">
        <v>0</v>
      </c>
      <c r="G97" t="s">
        <v>907</v>
      </c>
      <c r="J97">
        <v>1700</v>
      </c>
      <c r="K97" s="172">
        <f t="shared" si="5"/>
        <v>680000</v>
      </c>
      <c r="L97" s="172">
        <f t="shared" si="6"/>
        <v>0.68</v>
      </c>
      <c r="M97" s="172">
        <f t="shared" si="7"/>
        <v>5338</v>
      </c>
      <c r="T97" t="s">
        <v>886</v>
      </c>
    </row>
    <row r="98" spans="1:20">
      <c r="A98" t="s">
        <v>875</v>
      </c>
      <c r="B98" t="s">
        <v>887</v>
      </c>
      <c r="C98" t="s">
        <v>805</v>
      </c>
      <c r="D98">
        <v>400</v>
      </c>
      <c r="E98">
        <v>0</v>
      </c>
      <c r="G98" t="s">
        <v>907</v>
      </c>
      <c r="J98" s="172">
        <v>1700</v>
      </c>
      <c r="K98" s="172">
        <f t="shared" si="5"/>
        <v>680000</v>
      </c>
      <c r="L98" s="172">
        <f t="shared" si="6"/>
        <v>0.68</v>
      </c>
      <c r="M98" s="172">
        <f t="shared" si="7"/>
        <v>5338</v>
      </c>
      <c r="T98" t="s">
        <v>886</v>
      </c>
    </row>
    <row r="99" spans="1:20">
      <c r="A99" t="s">
        <v>875</v>
      </c>
      <c r="B99" t="s">
        <v>895</v>
      </c>
      <c r="C99" t="s">
        <v>805</v>
      </c>
      <c r="D99">
        <v>400</v>
      </c>
      <c r="E99">
        <v>0</v>
      </c>
      <c r="G99" t="s">
        <v>907</v>
      </c>
      <c r="J99" s="172">
        <v>1700</v>
      </c>
      <c r="K99" s="172">
        <f t="shared" si="5"/>
        <v>680000</v>
      </c>
      <c r="L99" s="172">
        <f t="shared" si="6"/>
        <v>0.68</v>
      </c>
      <c r="M99" s="172">
        <f t="shared" si="7"/>
        <v>5338</v>
      </c>
      <c r="T99" t="s">
        <v>886</v>
      </c>
    </row>
    <row r="100" spans="1:20">
      <c r="A100" t="s">
        <v>875</v>
      </c>
      <c r="B100" t="s">
        <v>896</v>
      </c>
      <c r="C100" t="s">
        <v>805</v>
      </c>
      <c r="D100">
        <v>400</v>
      </c>
      <c r="E100">
        <v>0</v>
      </c>
      <c r="G100" t="s">
        <v>907</v>
      </c>
      <c r="J100" s="172">
        <v>1700</v>
      </c>
      <c r="K100" s="172">
        <f t="shared" si="5"/>
        <v>680000</v>
      </c>
      <c r="L100" s="172">
        <f t="shared" si="6"/>
        <v>0.68</v>
      </c>
      <c r="M100" s="172">
        <f t="shared" si="7"/>
        <v>5338</v>
      </c>
      <c r="T100" t="s">
        <v>886</v>
      </c>
    </row>
    <row r="101" spans="1:20">
      <c r="A101" t="s">
        <v>875</v>
      </c>
      <c r="B101" t="s">
        <v>897</v>
      </c>
      <c r="C101" t="s">
        <v>805</v>
      </c>
      <c r="D101">
        <v>400</v>
      </c>
      <c r="E101">
        <v>0</v>
      </c>
      <c r="G101" t="s">
        <v>909</v>
      </c>
      <c r="J101" s="172">
        <v>152.44</v>
      </c>
      <c r="K101" s="172">
        <f t="shared" si="5"/>
        <v>60976</v>
      </c>
      <c r="L101" s="172">
        <f t="shared" si="6"/>
        <v>6.0976000000000002E-2</v>
      </c>
      <c r="M101" s="172">
        <f t="shared" si="7"/>
        <v>478.66160000000002</v>
      </c>
      <c r="T101" t="s">
        <v>886</v>
      </c>
    </row>
    <row r="102" spans="1:20">
      <c r="A102" t="s">
        <v>875</v>
      </c>
      <c r="B102" t="s">
        <v>899</v>
      </c>
      <c r="C102" t="s">
        <v>805</v>
      </c>
      <c r="D102">
        <v>400</v>
      </c>
      <c r="E102">
        <v>0</v>
      </c>
      <c r="G102" t="s">
        <v>909</v>
      </c>
      <c r="J102" s="172">
        <v>152.44</v>
      </c>
      <c r="K102" s="172">
        <f t="shared" si="5"/>
        <v>60976</v>
      </c>
      <c r="L102" s="172">
        <f t="shared" si="6"/>
        <v>6.0976000000000002E-2</v>
      </c>
      <c r="M102" s="172">
        <f t="shared" si="7"/>
        <v>478.66160000000002</v>
      </c>
      <c r="T102" t="s">
        <v>886</v>
      </c>
    </row>
    <row r="103" spans="1:20">
      <c r="A103" t="s">
        <v>875</v>
      </c>
      <c r="B103" t="s">
        <v>900</v>
      </c>
      <c r="C103" t="s">
        <v>805</v>
      </c>
      <c r="D103">
        <v>400</v>
      </c>
      <c r="E103">
        <v>0</v>
      </c>
      <c r="G103" t="s">
        <v>909</v>
      </c>
      <c r="J103" s="172">
        <v>152.44</v>
      </c>
      <c r="K103" s="172">
        <f t="shared" si="5"/>
        <v>60976</v>
      </c>
      <c r="L103" s="172">
        <f t="shared" si="6"/>
        <v>6.0976000000000002E-2</v>
      </c>
      <c r="M103" s="172">
        <f t="shared" si="7"/>
        <v>478.66160000000002</v>
      </c>
      <c r="T103" t="s">
        <v>886</v>
      </c>
    </row>
    <row r="104" spans="1:20">
      <c r="A104" t="s">
        <v>875</v>
      </c>
      <c r="B104" t="s">
        <v>901</v>
      </c>
      <c r="C104" t="s">
        <v>805</v>
      </c>
      <c r="D104">
        <v>400</v>
      </c>
      <c r="E104">
        <v>0</v>
      </c>
      <c r="G104" t="s">
        <v>909</v>
      </c>
      <c r="J104" s="172">
        <v>152.44</v>
      </c>
      <c r="K104" s="172">
        <f t="shared" si="5"/>
        <v>60976</v>
      </c>
      <c r="L104" s="172">
        <f t="shared" si="6"/>
        <v>6.0976000000000002E-2</v>
      </c>
      <c r="M104" s="172">
        <f t="shared" si="7"/>
        <v>478.66160000000002</v>
      </c>
      <c r="T104" t="s">
        <v>886</v>
      </c>
    </row>
    <row r="105" spans="1:20">
      <c r="A105" t="s">
        <v>875</v>
      </c>
      <c r="B105" t="s">
        <v>902</v>
      </c>
      <c r="C105" t="s">
        <v>805</v>
      </c>
      <c r="D105">
        <v>400</v>
      </c>
      <c r="E105">
        <v>0</v>
      </c>
      <c r="G105" t="s">
        <v>909</v>
      </c>
      <c r="J105" s="172">
        <v>152.44</v>
      </c>
      <c r="K105" s="172">
        <f t="shared" si="5"/>
        <v>60976</v>
      </c>
      <c r="L105" s="172">
        <f t="shared" si="6"/>
        <v>6.0976000000000002E-2</v>
      </c>
      <c r="M105" s="172">
        <f t="shared" si="7"/>
        <v>478.66160000000002</v>
      </c>
      <c r="T105" t="s">
        <v>886</v>
      </c>
    </row>
    <row r="106" spans="1:20">
      <c r="A106" t="s">
        <v>875</v>
      </c>
      <c r="B106" t="s">
        <v>904</v>
      </c>
      <c r="C106" t="s">
        <v>805</v>
      </c>
      <c r="D106">
        <v>400</v>
      </c>
      <c r="E106">
        <v>0</v>
      </c>
      <c r="G106" t="s">
        <v>909</v>
      </c>
      <c r="J106" s="172">
        <v>152.44</v>
      </c>
      <c r="K106" s="172">
        <f t="shared" si="5"/>
        <v>60976</v>
      </c>
      <c r="L106" s="172">
        <f t="shared" si="6"/>
        <v>6.0976000000000002E-2</v>
      </c>
      <c r="M106" s="172">
        <f t="shared" si="7"/>
        <v>478.66160000000002</v>
      </c>
      <c r="T106" t="s">
        <v>886</v>
      </c>
    </row>
    <row r="107" spans="1:20">
      <c r="A107" t="s">
        <v>875</v>
      </c>
      <c r="B107" t="s">
        <v>905</v>
      </c>
      <c r="C107" t="s">
        <v>805</v>
      </c>
      <c r="D107">
        <v>400</v>
      </c>
      <c r="E107">
        <v>0</v>
      </c>
      <c r="G107" t="s">
        <v>909</v>
      </c>
      <c r="J107" s="172">
        <v>152.44</v>
      </c>
      <c r="K107" s="172">
        <f t="shared" si="5"/>
        <v>60976</v>
      </c>
      <c r="L107" s="172">
        <f t="shared" si="6"/>
        <v>6.0976000000000002E-2</v>
      </c>
      <c r="M107" s="172">
        <f t="shared" si="7"/>
        <v>478.66160000000002</v>
      </c>
      <c r="T107" t="s">
        <v>886</v>
      </c>
    </row>
    <row r="108" spans="1:20">
      <c r="A108" t="s">
        <v>875</v>
      </c>
      <c r="B108" t="s">
        <v>906</v>
      </c>
      <c r="C108" t="s">
        <v>805</v>
      </c>
      <c r="D108">
        <v>400</v>
      </c>
      <c r="E108">
        <v>0</v>
      </c>
      <c r="G108" t="s">
        <v>909</v>
      </c>
      <c r="J108" s="172">
        <v>152.44</v>
      </c>
      <c r="K108" s="172">
        <f t="shared" si="5"/>
        <v>60976</v>
      </c>
      <c r="L108" s="172">
        <f t="shared" si="6"/>
        <v>6.0976000000000002E-2</v>
      </c>
      <c r="M108" s="172">
        <f t="shared" si="7"/>
        <v>478.66160000000002</v>
      </c>
      <c r="T108" t="s">
        <v>886</v>
      </c>
    </row>
    <row r="109" spans="1:20">
      <c r="A109" t="s">
        <v>875</v>
      </c>
      <c r="B109" t="s">
        <v>888</v>
      </c>
      <c r="C109" t="s">
        <v>805</v>
      </c>
      <c r="D109">
        <v>400</v>
      </c>
      <c r="E109">
        <v>0</v>
      </c>
      <c r="G109" t="s">
        <v>908</v>
      </c>
      <c r="J109" s="172">
        <v>300.88</v>
      </c>
      <c r="K109" s="172">
        <f t="shared" si="5"/>
        <v>120352</v>
      </c>
      <c r="L109" s="172">
        <f t="shared" si="6"/>
        <v>0.120352</v>
      </c>
      <c r="M109" s="172">
        <f t="shared" si="7"/>
        <v>944.76319999999998</v>
      </c>
      <c r="T109" t="s">
        <v>886</v>
      </c>
    </row>
    <row r="110" spans="1:20">
      <c r="A110" t="s">
        <v>875</v>
      </c>
      <c r="B110" t="s">
        <v>890</v>
      </c>
      <c r="C110" t="s">
        <v>805</v>
      </c>
      <c r="D110">
        <v>400</v>
      </c>
      <c r="E110">
        <v>0</v>
      </c>
      <c r="G110" t="s">
        <v>908</v>
      </c>
      <c r="J110" s="172">
        <v>300.88</v>
      </c>
      <c r="K110" s="172">
        <f t="shared" si="5"/>
        <v>120352</v>
      </c>
      <c r="L110" s="172">
        <f t="shared" si="6"/>
        <v>0.120352</v>
      </c>
      <c r="M110" s="172">
        <f t="shared" si="7"/>
        <v>944.76319999999998</v>
      </c>
      <c r="T110" t="s">
        <v>886</v>
      </c>
    </row>
    <row r="111" spans="1:20">
      <c r="A111" t="s">
        <v>875</v>
      </c>
      <c r="B111" t="s">
        <v>891</v>
      </c>
      <c r="C111" t="s">
        <v>805</v>
      </c>
      <c r="D111">
        <v>400</v>
      </c>
      <c r="E111">
        <v>0</v>
      </c>
      <c r="G111" t="s">
        <v>908</v>
      </c>
      <c r="J111" s="172">
        <v>300.88</v>
      </c>
      <c r="K111" s="172">
        <f t="shared" si="5"/>
        <v>120352</v>
      </c>
      <c r="L111" s="172">
        <f t="shared" si="6"/>
        <v>0.120352</v>
      </c>
      <c r="M111" s="172">
        <f t="shared" si="7"/>
        <v>944.76319999999998</v>
      </c>
      <c r="T111" t="s">
        <v>886</v>
      </c>
    </row>
    <row r="112" spans="1:20">
      <c r="A112" t="s">
        <v>875</v>
      </c>
      <c r="B112" t="s">
        <v>892</v>
      </c>
      <c r="C112" t="s">
        <v>805</v>
      </c>
      <c r="D112">
        <v>400</v>
      </c>
      <c r="E112">
        <v>0</v>
      </c>
      <c r="G112" t="s">
        <v>908</v>
      </c>
      <c r="J112" s="172">
        <v>300.88</v>
      </c>
      <c r="K112" s="172">
        <f t="shared" si="5"/>
        <v>120352</v>
      </c>
      <c r="L112" s="172">
        <f t="shared" si="6"/>
        <v>0.120352</v>
      </c>
      <c r="M112" s="172">
        <f t="shared" si="7"/>
        <v>944.76319999999998</v>
      </c>
      <c r="T112" t="s">
        <v>886</v>
      </c>
    </row>
    <row r="113" spans="1:20">
      <c r="A113" t="s">
        <v>875</v>
      </c>
      <c r="B113" t="s">
        <v>893</v>
      </c>
      <c r="C113" t="s">
        <v>805</v>
      </c>
      <c r="D113">
        <v>400</v>
      </c>
      <c r="E113">
        <v>0</v>
      </c>
      <c r="G113" t="s">
        <v>908</v>
      </c>
      <c r="J113">
        <v>300.88</v>
      </c>
      <c r="K113" s="172">
        <f t="shared" si="5"/>
        <v>120352</v>
      </c>
      <c r="L113" s="172">
        <f t="shared" si="6"/>
        <v>0.120352</v>
      </c>
      <c r="M113" s="172">
        <f t="shared" si="7"/>
        <v>944.76319999999998</v>
      </c>
      <c r="T113" t="s">
        <v>886</v>
      </c>
    </row>
    <row r="114" spans="1:20">
      <c r="A114" t="s">
        <v>875</v>
      </c>
      <c r="B114" t="s">
        <v>894</v>
      </c>
      <c r="C114" t="s">
        <v>805</v>
      </c>
      <c r="D114">
        <v>400</v>
      </c>
      <c r="E114">
        <v>0</v>
      </c>
      <c r="G114" t="s">
        <v>908</v>
      </c>
      <c r="J114" s="172">
        <v>300.88</v>
      </c>
      <c r="K114" s="172">
        <f t="shared" si="5"/>
        <v>120352</v>
      </c>
      <c r="L114" s="172">
        <f t="shared" si="6"/>
        <v>0.120352</v>
      </c>
      <c r="M114" s="172">
        <f t="shared" si="7"/>
        <v>944.76319999999998</v>
      </c>
      <c r="T114" t="s">
        <v>886</v>
      </c>
    </row>
    <row r="115" spans="1:20">
      <c r="A115" t="s">
        <v>872</v>
      </c>
      <c r="B115" t="s">
        <v>920</v>
      </c>
      <c r="C115" t="s">
        <v>807</v>
      </c>
      <c r="D115">
        <v>1000</v>
      </c>
      <c r="E115">
        <v>0</v>
      </c>
      <c r="G115" t="s">
        <v>909</v>
      </c>
      <c r="J115" s="172">
        <v>152.44</v>
      </c>
      <c r="K115" s="172">
        <f t="shared" si="5"/>
        <v>152440</v>
      </c>
      <c r="L115" s="172">
        <f t="shared" si="6"/>
        <v>0.15243999999999999</v>
      </c>
      <c r="M115" s="172">
        <f t="shared" si="7"/>
        <v>1196.654</v>
      </c>
      <c r="T115" t="s">
        <v>886</v>
      </c>
    </row>
    <row r="116" spans="1:20">
      <c r="A116" t="s">
        <v>872</v>
      </c>
      <c r="B116" t="s">
        <v>921</v>
      </c>
      <c r="C116" t="s">
        <v>807</v>
      </c>
      <c r="D116">
        <v>1000</v>
      </c>
      <c r="E116">
        <v>0</v>
      </c>
      <c r="G116" t="s">
        <v>909</v>
      </c>
      <c r="J116" s="172">
        <v>152.44</v>
      </c>
      <c r="K116" s="172">
        <f t="shared" si="5"/>
        <v>152440</v>
      </c>
      <c r="L116" s="172">
        <f t="shared" si="6"/>
        <v>0.15243999999999999</v>
      </c>
      <c r="M116" s="172">
        <f t="shared" si="7"/>
        <v>1196.654</v>
      </c>
      <c r="T116" t="s">
        <v>886</v>
      </c>
    </row>
    <row r="117" spans="1:20">
      <c r="A117" t="s">
        <v>872</v>
      </c>
      <c r="B117" t="s">
        <v>922</v>
      </c>
      <c r="C117" t="s">
        <v>807</v>
      </c>
      <c r="D117">
        <v>1000</v>
      </c>
      <c r="E117">
        <v>0</v>
      </c>
      <c r="G117" t="s">
        <v>909</v>
      </c>
      <c r="J117">
        <v>152.44</v>
      </c>
      <c r="K117" s="172">
        <f t="shared" si="5"/>
        <v>152440</v>
      </c>
      <c r="L117" s="172">
        <f t="shared" si="6"/>
        <v>0.15243999999999999</v>
      </c>
      <c r="M117" s="172">
        <f t="shared" si="7"/>
        <v>1196.654</v>
      </c>
      <c r="T117" t="s">
        <v>886</v>
      </c>
    </row>
    <row r="118" spans="1:20">
      <c r="A118" t="s">
        <v>872</v>
      </c>
      <c r="B118" t="s">
        <v>924</v>
      </c>
      <c r="C118" t="s">
        <v>807</v>
      </c>
      <c r="D118">
        <v>1000</v>
      </c>
      <c r="E118">
        <v>0</v>
      </c>
      <c r="G118" t="s">
        <v>909</v>
      </c>
      <c r="J118" s="172">
        <v>152.44</v>
      </c>
      <c r="K118" s="172">
        <f t="shared" si="5"/>
        <v>152440</v>
      </c>
      <c r="L118" s="172">
        <f t="shared" si="6"/>
        <v>0.15243999999999999</v>
      </c>
      <c r="M118" s="172">
        <f t="shared" si="7"/>
        <v>1196.654</v>
      </c>
      <c r="T118" t="s">
        <v>886</v>
      </c>
    </row>
    <row r="119" spans="1:20">
      <c r="A119" t="s">
        <v>872</v>
      </c>
      <c r="B119" t="s">
        <v>911</v>
      </c>
      <c r="C119" t="s">
        <v>807</v>
      </c>
      <c r="D119">
        <v>1000</v>
      </c>
      <c r="E119">
        <v>0</v>
      </c>
      <c r="G119" t="s">
        <v>910</v>
      </c>
      <c r="J119" s="172">
        <v>340.2</v>
      </c>
      <c r="K119" s="172">
        <f t="shared" si="5"/>
        <v>340200</v>
      </c>
      <c r="L119" s="172">
        <f t="shared" si="6"/>
        <v>0.3402</v>
      </c>
      <c r="M119" s="172">
        <f t="shared" si="7"/>
        <v>2670.57</v>
      </c>
      <c r="T119" t="s">
        <v>886</v>
      </c>
    </row>
    <row r="120" spans="1:20">
      <c r="A120" t="s">
        <v>872</v>
      </c>
      <c r="B120" t="s">
        <v>913</v>
      </c>
      <c r="C120" t="s">
        <v>807</v>
      </c>
      <c r="D120">
        <v>900</v>
      </c>
      <c r="E120">
        <v>0</v>
      </c>
      <c r="G120" t="s">
        <v>910</v>
      </c>
      <c r="J120" s="172">
        <v>340.2</v>
      </c>
      <c r="K120" s="172">
        <f t="shared" si="5"/>
        <v>306180</v>
      </c>
      <c r="L120" s="172">
        <f t="shared" si="6"/>
        <v>0.30618000000000001</v>
      </c>
      <c r="M120" s="172">
        <f t="shared" si="7"/>
        <v>2403.5129999999999</v>
      </c>
      <c r="T120" t="s">
        <v>886</v>
      </c>
    </row>
    <row r="121" spans="1:20">
      <c r="A121" t="s">
        <v>872</v>
      </c>
      <c r="B121" t="s">
        <v>914</v>
      </c>
      <c r="C121" t="s">
        <v>807</v>
      </c>
      <c r="D121">
        <v>900</v>
      </c>
      <c r="E121">
        <v>0</v>
      </c>
      <c r="G121" t="s">
        <v>910</v>
      </c>
      <c r="J121">
        <v>340.2</v>
      </c>
      <c r="K121" s="172">
        <f t="shared" si="5"/>
        <v>306180</v>
      </c>
      <c r="L121" s="172">
        <f t="shared" si="6"/>
        <v>0.30618000000000001</v>
      </c>
      <c r="M121" s="172">
        <f t="shared" si="7"/>
        <v>2403.5129999999999</v>
      </c>
      <c r="T121" t="s">
        <v>886</v>
      </c>
    </row>
    <row r="122" spans="1:20">
      <c r="A122" t="s">
        <v>872</v>
      </c>
      <c r="B122" t="s">
        <v>915</v>
      </c>
      <c r="C122" t="s">
        <v>807</v>
      </c>
      <c r="D122">
        <v>1000</v>
      </c>
      <c r="E122">
        <v>0</v>
      </c>
      <c r="G122" t="s">
        <v>910</v>
      </c>
      <c r="J122" s="172">
        <v>340.2</v>
      </c>
      <c r="K122" s="172">
        <f t="shared" si="5"/>
        <v>340200</v>
      </c>
      <c r="L122" s="172">
        <f t="shared" si="6"/>
        <v>0.3402</v>
      </c>
      <c r="M122" s="172">
        <f t="shared" si="7"/>
        <v>2670.57</v>
      </c>
      <c r="T122" t="s">
        <v>886</v>
      </c>
    </row>
    <row r="123" spans="1:20">
      <c r="A123" t="s">
        <v>872</v>
      </c>
      <c r="B123" t="s">
        <v>916</v>
      </c>
      <c r="C123" t="s">
        <v>807</v>
      </c>
      <c r="D123">
        <v>1000</v>
      </c>
      <c r="E123">
        <v>0</v>
      </c>
      <c r="G123" t="s">
        <v>910</v>
      </c>
      <c r="J123" s="172">
        <v>340.2</v>
      </c>
      <c r="K123" s="172">
        <f t="shared" si="5"/>
        <v>340200</v>
      </c>
      <c r="L123" s="172">
        <f t="shared" si="6"/>
        <v>0.3402</v>
      </c>
      <c r="M123" s="172">
        <f t="shared" si="7"/>
        <v>2670.57</v>
      </c>
      <c r="T123" t="s">
        <v>886</v>
      </c>
    </row>
    <row r="124" spans="1:20">
      <c r="A124" t="s">
        <v>872</v>
      </c>
      <c r="B124" t="s">
        <v>917</v>
      </c>
      <c r="C124" t="s">
        <v>807</v>
      </c>
      <c r="D124">
        <v>900</v>
      </c>
      <c r="E124">
        <v>0</v>
      </c>
      <c r="G124" t="s">
        <v>910</v>
      </c>
      <c r="J124" s="172">
        <v>340.2</v>
      </c>
      <c r="K124" s="172">
        <f t="shared" si="5"/>
        <v>306180</v>
      </c>
      <c r="L124" s="172">
        <f t="shared" si="6"/>
        <v>0.30618000000000001</v>
      </c>
      <c r="M124" s="172">
        <f t="shared" si="7"/>
        <v>2403.5129999999999</v>
      </c>
      <c r="T124" t="s">
        <v>886</v>
      </c>
    </row>
    <row r="125" spans="1:20">
      <c r="A125" t="s">
        <v>872</v>
      </c>
      <c r="B125" t="s">
        <v>918</v>
      </c>
      <c r="C125" t="s">
        <v>807</v>
      </c>
      <c r="D125">
        <v>900</v>
      </c>
      <c r="E125">
        <v>0</v>
      </c>
      <c r="G125" t="s">
        <v>910</v>
      </c>
      <c r="J125" s="172">
        <v>340.2</v>
      </c>
      <c r="K125" s="172">
        <f t="shared" si="5"/>
        <v>306180</v>
      </c>
      <c r="L125" s="172">
        <f t="shared" si="6"/>
        <v>0.30618000000000001</v>
      </c>
      <c r="M125" s="172">
        <f t="shared" si="7"/>
        <v>2403.5129999999999</v>
      </c>
      <c r="T125" t="s">
        <v>886</v>
      </c>
    </row>
    <row r="126" spans="1:20">
      <c r="A126" t="s">
        <v>872</v>
      </c>
      <c r="B126" t="s">
        <v>919</v>
      </c>
      <c r="C126" t="s">
        <v>807</v>
      </c>
      <c r="D126">
        <v>1000</v>
      </c>
      <c r="E126">
        <v>0</v>
      </c>
      <c r="G126" t="s">
        <v>910</v>
      </c>
      <c r="J126" s="172">
        <v>340.2</v>
      </c>
      <c r="K126" s="172">
        <f t="shared" si="5"/>
        <v>340200</v>
      </c>
      <c r="L126" s="172">
        <f t="shared" si="6"/>
        <v>0.3402</v>
      </c>
      <c r="M126" s="172">
        <f t="shared" si="7"/>
        <v>2670.57</v>
      </c>
      <c r="T126" t="s">
        <v>886</v>
      </c>
    </row>
    <row r="127" spans="1:20">
      <c r="A127" t="s">
        <v>872</v>
      </c>
      <c r="B127" t="s">
        <v>932</v>
      </c>
      <c r="C127" t="s">
        <v>808</v>
      </c>
      <c r="D127">
        <v>640.31200000000001</v>
      </c>
      <c r="E127">
        <v>0</v>
      </c>
      <c r="G127" t="s">
        <v>937</v>
      </c>
      <c r="J127" s="172">
        <v>40</v>
      </c>
      <c r="K127" s="172">
        <f t="shared" si="5"/>
        <v>25612.48</v>
      </c>
      <c r="L127" s="172">
        <f t="shared" si="6"/>
        <v>2.561248E-2</v>
      </c>
      <c r="M127" s="172">
        <f t="shared" si="7"/>
        <v>201.05796799999999</v>
      </c>
      <c r="T127" t="s">
        <v>886</v>
      </c>
    </row>
    <row r="128" spans="1:20">
      <c r="A128" t="s">
        <v>872</v>
      </c>
      <c r="B128" t="s">
        <v>934</v>
      </c>
      <c r="C128" t="s">
        <v>808</v>
      </c>
      <c r="D128">
        <v>640.31200000000001</v>
      </c>
      <c r="E128">
        <v>0</v>
      </c>
      <c r="G128" t="s">
        <v>937</v>
      </c>
      <c r="J128" s="172">
        <v>40</v>
      </c>
      <c r="K128" s="172">
        <f t="shared" si="5"/>
        <v>25612.48</v>
      </c>
      <c r="L128" s="172">
        <f t="shared" si="6"/>
        <v>2.561248E-2</v>
      </c>
      <c r="M128" s="172">
        <f t="shared" si="7"/>
        <v>201.05796799999999</v>
      </c>
      <c r="T128" t="s">
        <v>886</v>
      </c>
    </row>
    <row r="129" spans="1:20">
      <c r="A129" t="s">
        <v>872</v>
      </c>
      <c r="B129" t="s">
        <v>935</v>
      </c>
      <c r="C129" t="s">
        <v>808</v>
      </c>
      <c r="D129">
        <v>640.31200000000001</v>
      </c>
      <c r="E129">
        <v>0</v>
      </c>
      <c r="G129" t="s">
        <v>937</v>
      </c>
      <c r="J129" s="172">
        <v>40</v>
      </c>
      <c r="K129" s="172">
        <f t="shared" ref="K129:K192" si="8">J129*D129</f>
        <v>25612.48</v>
      </c>
      <c r="L129" s="172">
        <f t="shared" ref="L129:L192" si="9">K129/1000000</f>
        <v>2.561248E-2</v>
      </c>
      <c r="M129" s="172">
        <f t="shared" ref="M129:M192" si="10">L129*7850</f>
        <v>201.05796799999999</v>
      </c>
      <c r="T129" t="s">
        <v>886</v>
      </c>
    </row>
    <row r="130" spans="1:20">
      <c r="A130" t="s">
        <v>872</v>
      </c>
      <c r="B130" t="s">
        <v>936</v>
      </c>
      <c r="C130" t="s">
        <v>808</v>
      </c>
      <c r="D130">
        <v>640.31200000000001</v>
      </c>
      <c r="E130">
        <v>0</v>
      </c>
      <c r="G130" t="s">
        <v>937</v>
      </c>
      <c r="J130" s="172">
        <v>40</v>
      </c>
      <c r="K130" s="172">
        <f t="shared" si="8"/>
        <v>25612.48</v>
      </c>
      <c r="L130" s="172">
        <f t="shared" si="9"/>
        <v>2.561248E-2</v>
      </c>
      <c r="M130" s="172">
        <f t="shared" si="10"/>
        <v>201.05796799999999</v>
      </c>
      <c r="T130" t="s">
        <v>886</v>
      </c>
    </row>
    <row r="131" spans="1:20">
      <c r="A131" t="s">
        <v>872</v>
      </c>
      <c r="B131" t="s">
        <v>928</v>
      </c>
      <c r="C131" t="s">
        <v>808</v>
      </c>
      <c r="D131">
        <v>583.63099999999997</v>
      </c>
      <c r="E131">
        <v>0</v>
      </c>
      <c r="G131" t="s">
        <v>909</v>
      </c>
      <c r="J131" s="172">
        <v>152.44</v>
      </c>
      <c r="K131" s="172">
        <f t="shared" si="8"/>
        <v>88968.709640000001</v>
      </c>
      <c r="L131" s="172">
        <f t="shared" si="9"/>
        <v>8.8968709640000004E-2</v>
      </c>
      <c r="M131" s="172">
        <f t="shared" si="10"/>
        <v>698.40437067400001</v>
      </c>
      <c r="T131" t="s">
        <v>886</v>
      </c>
    </row>
    <row r="132" spans="1:20">
      <c r="A132" t="s">
        <v>872</v>
      </c>
      <c r="B132" t="s">
        <v>929</v>
      </c>
      <c r="C132" t="s">
        <v>808</v>
      </c>
      <c r="D132">
        <v>583.63099999999997</v>
      </c>
      <c r="E132">
        <v>0</v>
      </c>
      <c r="G132" t="s">
        <v>909</v>
      </c>
      <c r="J132" s="172">
        <v>152.44</v>
      </c>
      <c r="K132" s="172">
        <f t="shared" si="8"/>
        <v>88968.709640000001</v>
      </c>
      <c r="L132" s="172">
        <f t="shared" si="9"/>
        <v>8.8968709640000004E-2</v>
      </c>
      <c r="M132" s="172">
        <f t="shared" si="10"/>
        <v>698.40437067400001</v>
      </c>
      <c r="T132" t="s">
        <v>886</v>
      </c>
    </row>
    <row r="133" spans="1:20">
      <c r="A133" t="s">
        <v>872</v>
      </c>
      <c r="B133" t="s">
        <v>930</v>
      </c>
      <c r="C133" t="s">
        <v>808</v>
      </c>
      <c r="D133">
        <v>583.63099999999997</v>
      </c>
      <c r="E133">
        <v>0</v>
      </c>
      <c r="G133" t="s">
        <v>909</v>
      </c>
      <c r="J133" s="172">
        <v>152.44</v>
      </c>
      <c r="K133" s="172">
        <f t="shared" si="8"/>
        <v>88968.709640000001</v>
      </c>
      <c r="L133" s="172">
        <f t="shared" si="9"/>
        <v>8.8968709640000004E-2</v>
      </c>
      <c r="M133" s="172">
        <f t="shared" si="10"/>
        <v>698.40437067400001</v>
      </c>
      <c r="T133" t="s">
        <v>886</v>
      </c>
    </row>
    <row r="134" spans="1:20">
      <c r="A134" t="s">
        <v>872</v>
      </c>
      <c r="B134" t="s">
        <v>931</v>
      </c>
      <c r="C134" t="s">
        <v>808</v>
      </c>
      <c r="D134">
        <v>583.63099999999997</v>
      </c>
      <c r="E134">
        <v>0</v>
      </c>
      <c r="G134" t="s">
        <v>909</v>
      </c>
      <c r="J134" s="172">
        <v>152.44</v>
      </c>
      <c r="K134" s="172">
        <f t="shared" si="8"/>
        <v>88968.709640000001</v>
      </c>
      <c r="L134" s="172">
        <f t="shared" si="9"/>
        <v>8.8968709640000004E-2</v>
      </c>
      <c r="M134" s="172">
        <f t="shared" si="10"/>
        <v>698.40437067400001</v>
      </c>
      <c r="T134" t="s">
        <v>886</v>
      </c>
    </row>
    <row r="135" spans="1:20">
      <c r="A135" t="s">
        <v>872</v>
      </c>
      <c r="B135" t="s">
        <v>884</v>
      </c>
      <c r="C135" t="s">
        <v>805</v>
      </c>
      <c r="D135">
        <v>400</v>
      </c>
      <c r="E135">
        <v>0</v>
      </c>
      <c r="G135" t="s">
        <v>907</v>
      </c>
      <c r="J135" s="172">
        <v>1700</v>
      </c>
      <c r="K135" s="172">
        <f t="shared" si="8"/>
        <v>680000</v>
      </c>
      <c r="L135" s="172">
        <f t="shared" si="9"/>
        <v>0.68</v>
      </c>
      <c r="M135" s="172">
        <f t="shared" si="10"/>
        <v>5338</v>
      </c>
      <c r="T135" t="s">
        <v>886</v>
      </c>
    </row>
    <row r="136" spans="1:20">
      <c r="A136" t="s">
        <v>872</v>
      </c>
      <c r="B136" t="s">
        <v>887</v>
      </c>
      <c r="C136" t="s">
        <v>805</v>
      </c>
      <c r="D136">
        <v>400</v>
      </c>
      <c r="E136">
        <v>0</v>
      </c>
      <c r="G136" t="s">
        <v>907</v>
      </c>
      <c r="J136" s="172">
        <v>1700</v>
      </c>
      <c r="K136" s="172">
        <f t="shared" si="8"/>
        <v>680000</v>
      </c>
      <c r="L136" s="172">
        <f t="shared" si="9"/>
        <v>0.68</v>
      </c>
      <c r="M136" s="172">
        <f t="shared" si="10"/>
        <v>5338</v>
      </c>
      <c r="T136" t="s">
        <v>886</v>
      </c>
    </row>
    <row r="137" spans="1:20">
      <c r="A137" t="s">
        <v>872</v>
      </c>
      <c r="B137" t="s">
        <v>895</v>
      </c>
      <c r="C137" t="s">
        <v>805</v>
      </c>
      <c r="D137">
        <v>400</v>
      </c>
      <c r="E137">
        <v>0</v>
      </c>
      <c r="G137" t="s">
        <v>907</v>
      </c>
      <c r="J137">
        <v>1700</v>
      </c>
      <c r="K137" s="172">
        <f t="shared" si="8"/>
        <v>680000</v>
      </c>
      <c r="L137" s="172">
        <f t="shared" si="9"/>
        <v>0.68</v>
      </c>
      <c r="M137" s="172">
        <f t="shared" si="10"/>
        <v>5338</v>
      </c>
      <c r="T137" t="s">
        <v>886</v>
      </c>
    </row>
    <row r="138" spans="1:20">
      <c r="A138" t="s">
        <v>872</v>
      </c>
      <c r="B138" t="s">
        <v>896</v>
      </c>
      <c r="C138" t="s">
        <v>805</v>
      </c>
      <c r="D138">
        <v>400</v>
      </c>
      <c r="E138">
        <v>0</v>
      </c>
      <c r="G138" t="s">
        <v>907</v>
      </c>
      <c r="J138" s="172">
        <v>1700</v>
      </c>
      <c r="K138" s="172">
        <f t="shared" si="8"/>
        <v>680000</v>
      </c>
      <c r="L138" s="172">
        <f t="shared" si="9"/>
        <v>0.68</v>
      </c>
      <c r="M138" s="172">
        <f t="shared" si="10"/>
        <v>5338</v>
      </c>
      <c r="T138" t="s">
        <v>886</v>
      </c>
    </row>
    <row r="139" spans="1:20">
      <c r="A139" t="s">
        <v>872</v>
      </c>
      <c r="B139" t="s">
        <v>897</v>
      </c>
      <c r="C139" t="s">
        <v>805</v>
      </c>
      <c r="D139">
        <v>400</v>
      </c>
      <c r="E139">
        <v>0</v>
      </c>
      <c r="G139" t="s">
        <v>909</v>
      </c>
      <c r="J139" s="172">
        <v>152.44</v>
      </c>
      <c r="K139" s="172">
        <f t="shared" si="8"/>
        <v>60976</v>
      </c>
      <c r="L139" s="172">
        <f t="shared" si="9"/>
        <v>6.0976000000000002E-2</v>
      </c>
      <c r="M139" s="172">
        <f t="shared" si="10"/>
        <v>478.66160000000002</v>
      </c>
      <c r="T139" t="s">
        <v>886</v>
      </c>
    </row>
    <row r="140" spans="1:20">
      <c r="A140" t="s">
        <v>872</v>
      </c>
      <c r="B140" t="s">
        <v>899</v>
      </c>
      <c r="C140" t="s">
        <v>805</v>
      </c>
      <c r="D140">
        <v>400</v>
      </c>
      <c r="E140">
        <v>0</v>
      </c>
      <c r="G140" t="s">
        <v>909</v>
      </c>
      <c r="J140" s="172">
        <v>152.44</v>
      </c>
      <c r="K140" s="172">
        <f t="shared" si="8"/>
        <v>60976</v>
      </c>
      <c r="L140" s="172">
        <f t="shared" si="9"/>
        <v>6.0976000000000002E-2</v>
      </c>
      <c r="M140" s="172">
        <f t="shared" si="10"/>
        <v>478.66160000000002</v>
      </c>
      <c r="T140" t="s">
        <v>886</v>
      </c>
    </row>
    <row r="141" spans="1:20">
      <c r="A141" t="s">
        <v>872</v>
      </c>
      <c r="B141" t="s">
        <v>900</v>
      </c>
      <c r="C141" t="s">
        <v>805</v>
      </c>
      <c r="D141">
        <v>400</v>
      </c>
      <c r="E141">
        <v>0</v>
      </c>
      <c r="G141" t="s">
        <v>909</v>
      </c>
      <c r="J141" s="172">
        <v>152.44</v>
      </c>
      <c r="K141" s="172">
        <f t="shared" si="8"/>
        <v>60976</v>
      </c>
      <c r="L141" s="172">
        <f t="shared" si="9"/>
        <v>6.0976000000000002E-2</v>
      </c>
      <c r="M141" s="172">
        <f t="shared" si="10"/>
        <v>478.66160000000002</v>
      </c>
      <c r="T141" t="s">
        <v>886</v>
      </c>
    </row>
    <row r="142" spans="1:20">
      <c r="A142" t="s">
        <v>872</v>
      </c>
      <c r="B142" t="s">
        <v>901</v>
      </c>
      <c r="C142" t="s">
        <v>805</v>
      </c>
      <c r="D142">
        <v>400</v>
      </c>
      <c r="E142">
        <v>0</v>
      </c>
      <c r="G142" t="s">
        <v>909</v>
      </c>
      <c r="J142" s="172">
        <v>152.44</v>
      </c>
      <c r="K142" s="172">
        <f t="shared" si="8"/>
        <v>60976</v>
      </c>
      <c r="L142" s="172">
        <f t="shared" si="9"/>
        <v>6.0976000000000002E-2</v>
      </c>
      <c r="M142" s="172">
        <f t="shared" si="10"/>
        <v>478.66160000000002</v>
      </c>
      <c r="T142" t="s">
        <v>886</v>
      </c>
    </row>
    <row r="143" spans="1:20">
      <c r="A143" t="s">
        <v>872</v>
      </c>
      <c r="B143" t="s">
        <v>902</v>
      </c>
      <c r="C143" t="s">
        <v>805</v>
      </c>
      <c r="D143">
        <v>400</v>
      </c>
      <c r="E143">
        <v>0</v>
      </c>
      <c r="G143" t="s">
        <v>909</v>
      </c>
      <c r="J143" s="172">
        <v>152.44</v>
      </c>
      <c r="K143" s="172">
        <f t="shared" si="8"/>
        <v>60976</v>
      </c>
      <c r="L143" s="172">
        <f t="shared" si="9"/>
        <v>6.0976000000000002E-2</v>
      </c>
      <c r="M143" s="172">
        <f t="shared" si="10"/>
        <v>478.66160000000002</v>
      </c>
      <c r="T143" t="s">
        <v>886</v>
      </c>
    </row>
    <row r="144" spans="1:20">
      <c r="A144" t="s">
        <v>872</v>
      </c>
      <c r="B144" t="s">
        <v>904</v>
      </c>
      <c r="C144" t="s">
        <v>805</v>
      </c>
      <c r="D144">
        <v>400</v>
      </c>
      <c r="E144">
        <v>0</v>
      </c>
      <c r="G144" t="s">
        <v>909</v>
      </c>
      <c r="J144" s="172">
        <v>152.44</v>
      </c>
      <c r="K144" s="172">
        <f t="shared" si="8"/>
        <v>60976</v>
      </c>
      <c r="L144" s="172">
        <f t="shared" si="9"/>
        <v>6.0976000000000002E-2</v>
      </c>
      <c r="M144" s="172">
        <f t="shared" si="10"/>
        <v>478.66160000000002</v>
      </c>
      <c r="T144" t="s">
        <v>886</v>
      </c>
    </row>
    <row r="145" spans="1:20">
      <c r="A145" t="s">
        <v>872</v>
      </c>
      <c r="B145" t="s">
        <v>905</v>
      </c>
      <c r="C145" t="s">
        <v>805</v>
      </c>
      <c r="D145">
        <v>400</v>
      </c>
      <c r="E145">
        <v>0</v>
      </c>
      <c r="G145" t="s">
        <v>909</v>
      </c>
      <c r="J145" s="172">
        <v>152.44</v>
      </c>
      <c r="K145" s="172">
        <f t="shared" si="8"/>
        <v>60976</v>
      </c>
      <c r="L145" s="172">
        <f t="shared" si="9"/>
        <v>6.0976000000000002E-2</v>
      </c>
      <c r="M145" s="172">
        <f t="shared" si="10"/>
        <v>478.66160000000002</v>
      </c>
      <c r="T145" t="s">
        <v>886</v>
      </c>
    </row>
    <row r="146" spans="1:20">
      <c r="A146" t="s">
        <v>872</v>
      </c>
      <c r="B146" t="s">
        <v>906</v>
      </c>
      <c r="C146" t="s">
        <v>805</v>
      </c>
      <c r="D146">
        <v>400</v>
      </c>
      <c r="E146">
        <v>0</v>
      </c>
      <c r="G146" t="s">
        <v>909</v>
      </c>
      <c r="J146" s="172">
        <v>152.44</v>
      </c>
      <c r="K146" s="172">
        <f t="shared" si="8"/>
        <v>60976</v>
      </c>
      <c r="L146" s="172">
        <f t="shared" si="9"/>
        <v>6.0976000000000002E-2</v>
      </c>
      <c r="M146" s="172">
        <f t="shared" si="10"/>
        <v>478.66160000000002</v>
      </c>
      <c r="T146" t="s">
        <v>886</v>
      </c>
    </row>
    <row r="147" spans="1:20">
      <c r="A147" t="s">
        <v>872</v>
      </c>
      <c r="B147" t="s">
        <v>888</v>
      </c>
      <c r="C147" t="s">
        <v>805</v>
      </c>
      <c r="D147">
        <v>400</v>
      </c>
      <c r="E147">
        <v>0</v>
      </c>
      <c r="G147" t="s">
        <v>908</v>
      </c>
      <c r="J147" s="172">
        <v>300.88</v>
      </c>
      <c r="K147" s="172">
        <f t="shared" si="8"/>
        <v>120352</v>
      </c>
      <c r="L147" s="172">
        <f t="shared" si="9"/>
        <v>0.120352</v>
      </c>
      <c r="M147" s="172">
        <f t="shared" si="10"/>
        <v>944.76319999999998</v>
      </c>
      <c r="T147" t="s">
        <v>886</v>
      </c>
    </row>
    <row r="148" spans="1:20">
      <c r="A148" t="s">
        <v>872</v>
      </c>
      <c r="B148" t="s">
        <v>890</v>
      </c>
      <c r="C148" t="s">
        <v>805</v>
      </c>
      <c r="D148">
        <v>400</v>
      </c>
      <c r="E148">
        <v>0</v>
      </c>
      <c r="G148" t="s">
        <v>908</v>
      </c>
      <c r="J148" s="172">
        <v>300.88</v>
      </c>
      <c r="K148" s="172">
        <f t="shared" si="8"/>
        <v>120352</v>
      </c>
      <c r="L148" s="172">
        <f t="shared" si="9"/>
        <v>0.120352</v>
      </c>
      <c r="M148" s="172">
        <f t="shared" si="10"/>
        <v>944.76319999999998</v>
      </c>
      <c r="T148" t="s">
        <v>886</v>
      </c>
    </row>
    <row r="149" spans="1:20">
      <c r="A149" t="s">
        <v>872</v>
      </c>
      <c r="B149" t="s">
        <v>891</v>
      </c>
      <c r="C149" t="s">
        <v>805</v>
      </c>
      <c r="D149">
        <v>400</v>
      </c>
      <c r="E149">
        <v>0</v>
      </c>
      <c r="G149" t="s">
        <v>908</v>
      </c>
      <c r="J149" s="172">
        <v>300.88</v>
      </c>
      <c r="K149" s="172">
        <f t="shared" si="8"/>
        <v>120352</v>
      </c>
      <c r="L149" s="172">
        <f t="shared" si="9"/>
        <v>0.120352</v>
      </c>
      <c r="M149" s="172">
        <f t="shared" si="10"/>
        <v>944.76319999999998</v>
      </c>
      <c r="T149" t="s">
        <v>886</v>
      </c>
    </row>
    <row r="150" spans="1:20">
      <c r="A150" t="s">
        <v>872</v>
      </c>
      <c r="B150" t="s">
        <v>892</v>
      </c>
      <c r="C150" t="s">
        <v>805</v>
      </c>
      <c r="D150">
        <v>400</v>
      </c>
      <c r="E150">
        <v>0</v>
      </c>
      <c r="G150" t="s">
        <v>908</v>
      </c>
      <c r="J150" s="172">
        <v>300.88</v>
      </c>
      <c r="K150" s="172">
        <f t="shared" si="8"/>
        <v>120352</v>
      </c>
      <c r="L150" s="172">
        <f t="shared" si="9"/>
        <v>0.120352</v>
      </c>
      <c r="M150" s="172">
        <f t="shared" si="10"/>
        <v>944.76319999999998</v>
      </c>
      <c r="T150" t="s">
        <v>886</v>
      </c>
    </row>
    <row r="151" spans="1:20">
      <c r="A151" t="s">
        <v>872</v>
      </c>
      <c r="B151" t="s">
        <v>893</v>
      </c>
      <c r="C151" t="s">
        <v>805</v>
      </c>
      <c r="D151">
        <v>400</v>
      </c>
      <c r="E151">
        <v>0</v>
      </c>
      <c r="G151" t="s">
        <v>908</v>
      </c>
      <c r="J151" s="172">
        <v>300.88</v>
      </c>
      <c r="K151" s="172">
        <f t="shared" si="8"/>
        <v>120352</v>
      </c>
      <c r="L151" s="172">
        <f t="shared" si="9"/>
        <v>0.120352</v>
      </c>
      <c r="M151" s="172">
        <f t="shared" si="10"/>
        <v>944.76319999999998</v>
      </c>
      <c r="T151" t="s">
        <v>886</v>
      </c>
    </row>
    <row r="152" spans="1:20">
      <c r="A152" t="s">
        <v>872</v>
      </c>
      <c r="B152" t="s">
        <v>894</v>
      </c>
      <c r="C152" t="s">
        <v>805</v>
      </c>
      <c r="D152">
        <v>400</v>
      </c>
      <c r="E152">
        <v>0</v>
      </c>
      <c r="G152" t="s">
        <v>908</v>
      </c>
      <c r="J152" s="172">
        <v>300.88</v>
      </c>
      <c r="K152" s="172">
        <f t="shared" si="8"/>
        <v>120352</v>
      </c>
      <c r="L152" s="172">
        <f t="shared" si="9"/>
        <v>0.120352</v>
      </c>
      <c r="M152" s="172">
        <f t="shared" si="10"/>
        <v>944.76319999999998</v>
      </c>
      <c r="T152" t="s">
        <v>886</v>
      </c>
    </row>
    <row r="153" spans="1:20">
      <c r="A153" t="s">
        <v>869</v>
      </c>
      <c r="B153" t="s">
        <v>920</v>
      </c>
      <c r="C153" t="s">
        <v>807</v>
      </c>
      <c r="D153">
        <v>1000</v>
      </c>
      <c r="E153">
        <v>0</v>
      </c>
      <c r="G153" t="s">
        <v>909</v>
      </c>
      <c r="J153" s="172">
        <v>152.44</v>
      </c>
      <c r="K153" s="172">
        <f t="shared" si="8"/>
        <v>152440</v>
      </c>
      <c r="L153" s="172">
        <f t="shared" si="9"/>
        <v>0.15243999999999999</v>
      </c>
      <c r="M153" s="172">
        <f t="shared" si="10"/>
        <v>1196.654</v>
      </c>
      <c r="T153" t="s">
        <v>886</v>
      </c>
    </row>
    <row r="154" spans="1:20">
      <c r="A154" t="s">
        <v>869</v>
      </c>
      <c r="B154" t="s">
        <v>921</v>
      </c>
      <c r="C154" t="s">
        <v>807</v>
      </c>
      <c r="D154">
        <v>1000</v>
      </c>
      <c r="E154">
        <v>0</v>
      </c>
      <c r="G154" t="s">
        <v>909</v>
      </c>
      <c r="J154" s="172">
        <v>152.44</v>
      </c>
      <c r="K154" s="172">
        <f t="shared" si="8"/>
        <v>152440</v>
      </c>
      <c r="L154" s="172">
        <f t="shared" si="9"/>
        <v>0.15243999999999999</v>
      </c>
      <c r="M154" s="172">
        <f t="shared" si="10"/>
        <v>1196.654</v>
      </c>
      <c r="T154" t="s">
        <v>886</v>
      </c>
    </row>
    <row r="155" spans="1:20">
      <c r="A155" t="s">
        <v>869</v>
      </c>
      <c r="B155" t="s">
        <v>922</v>
      </c>
      <c r="C155" t="s">
        <v>807</v>
      </c>
      <c r="D155">
        <v>1000</v>
      </c>
      <c r="E155">
        <v>0</v>
      </c>
      <c r="G155" t="s">
        <v>923</v>
      </c>
      <c r="J155" s="172">
        <v>149.28</v>
      </c>
      <c r="K155" s="172">
        <f t="shared" si="8"/>
        <v>149280</v>
      </c>
      <c r="L155" s="172">
        <f t="shared" si="9"/>
        <v>0.14928</v>
      </c>
      <c r="M155" s="172">
        <f t="shared" si="10"/>
        <v>1171.848</v>
      </c>
      <c r="T155" t="s">
        <v>886</v>
      </c>
    </row>
    <row r="156" spans="1:20">
      <c r="A156" t="s">
        <v>869</v>
      </c>
      <c r="B156" t="s">
        <v>924</v>
      </c>
      <c r="C156" t="s">
        <v>807</v>
      </c>
      <c r="D156">
        <v>1000</v>
      </c>
      <c r="E156">
        <v>0</v>
      </c>
      <c r="G156" t="s">
        <v>923</v>
      </c>
      <c r="J156" s="172">
        <v>149.28</v>
      </c>
      <c r="K156" s="172">
        <f t="shared" si="8"/>
        <v>149280</v>
      </c>
      <c r="L156" s="172">
        <f t="shared" si="9"/>
        <v>0.14928</v>
      </c>
      <c r="M156" s="172">
        <f t="shared" si="10"/>
        <v>1171.848</v>
      </c>
      <c r="T156" t="s">
        <v>886</v>
      </c>
    </row>
    <row r="157" spans="1:20">
      <c r="A157" t="s">
        <v>869</v>
      </c>
      <c r="B157" t="s">
        <v>911</v>
      </c>
      <c r="C157" t="s">
        <v>807</v>
      </c>
      <c r="D157">
        <v>1000</v>
      </c>
      <c r="E157">
        <v>0</v>
      </c>
      <c r="G157" t="s">
        <v>912</v>
      </c>
      <c r="J157" s="172">
        <v>307.48</v>
      </c>
      <c r="K157" s="172">
        <f t="shared" si="8"/>
        <v>307480</v>
      </c>
      <c r="L157" s="172">
        <f t="shared" si="9"/>
        <v>0.30747999999999998</v>
      </c>
      <c r="M157" s="172">
        <f t="shared" si="10"/>
        <v>2413.7179999999998</v>
      </c>
      <c r="T157" t="s">
        <v>886</v>
      </c>
    </row>
    <row r="158" spans="1:20">
      <c r="A158" t="s">
        <v>869</v>
      </c>
      <c r="B158" t="s">
        <v>913</v>
      </c>
      <c r="C158" t="s">
        <v>807</v>
      </c>
      <c r="D158">
        <v>900</v>
      </c>
      <c r="E158">
        <v>0</v>
      </c>
      <c r="G158" t="s">
        <v>912</v>
      </c>
      <c r="J158" s="172">
        <v>307.48</v>
      </c>
      <c r="K158" s="172">
        <f t="shared" si="8"/>
        <v>276732</v>
      </c>
      <c r="L158" s="172">
        <f t="shared" si="9"/>
        <v>0.27673199999999998</v>
      </c>
      <c r="M158" s="172">
        <f t="shared" si="10"/>
        <v>2172.3462</v>
      </c>
      <c r="T158" t="s">
        <v>886</v>
      </c>
    </row>
    <row r="159" spans="1:20">
      <c r="A159" t="s">
        <v>869</v>
      </c>
      <c r="B159" t="s">
        <v>914</v>
      </c>
      <c r="C159" t="s">
        <v>807</v>
      </c>
      <c r="D159">
        <v>900</v>
      </c>
      <c r="E159">
        <v>0</v>
      </c>
      <c r="G159" t="s">
        <v>912</v>
      </c>
      <c r="J159" s="172">
        <v>307.48</v>
      </c>
      <c r="K159" s="172">
        <f t="shared" si="8"/>
        <v>276732</v>
      </c>
      <c r="L159" s="172">
        <f t="shared" si="9"/>
        <v>0.27673199999999998</v>
      </c>
      <c r="M159" s="172">
        <f t="shared" si="10"/>
        <v>2172.3462</v>
      </c>
      <c r="T159" t="s">
        <v>886</v>
      </c>
    </row>
    <row r="160" spans="1:20">
      <c r="A160" t="s">
        <v>869</v>
      </c>
      <c r="B160" t="s">
        <v>915</v>
      </c>
      <c r="C160" t="s">
        <v>807</v>
      </c>
      <c r="D160">
        <v>1000</v>
      </c>
      <c r="E160">
        <v>0</v>
      </c>
      <c r="G160" t="s">
        <v>912</v>
      </c>
      <c r="J160" s="172">
        <v>307.48</v>
      </c>
      <c r="K160" s="172">
        <f t="shared" si="8"/>
        <v>307480</v>
      </c>
      <c r="L160" s="172">
        <f t="shared" si="9"/>
        <v>0.30747999999999998</v>
      </c>
      <c r="M160" s="172">
        <f t="shared" si="10"/>
        <v>2413.7179999999998</v>
      </c>
      <c r="T160" t="s">
        <v>886</v>
      </c>
    </row>
    <row r="161" spans="1:20">
      <c r="A161" t="s">
        <v>869</v>
      </c>
      <c r="B161" t="s">
        <v>916</v>
      </c>
      <c r="C161" t="s">
        <v>807</v>
      </c>
      <c r="D161">
        <v>1000</v>
      </c>
      <c r="E161">
        <v>0</v>
      </c>
      <c r="G161" t="s">
        <v>912</v>
      </c>
      <c r="J161" s="172">
        <v>307.48</v>
      </c>
      <c r="K161" s="172">
        <f t="shared" si="8"/>
        <v>307480</v>
      </c>
      <c r="L161" s="172">
        <f t="shared" si="9"/>
        <v>0.30747999999999998</v>
      </c>
      <c r="M161" s="172">
        <f t="shared" si="10"/>
        <v>2413.7179999999998</v>
      </c>
      <c r="T161" t="s">
        <v>886</v>
      </c>
    </row>
    <row r="162" spans="1:20">
      <c r="A162" t="s">
        <v>869</v>
      </c>
      <c r="B162" t="s">
        <v>917</v>
      </c>
      <c r="C162" t="s">
        <v>807</v>
      </c>
      <c r="D162">
        <v>900</v>
      </c>
      <c r="E162">
        <v>0</v>
      </c>
      <c r="G162" t="s">
        <v>912</v>
      </c>
      <c r="J162" s="172">
        <v>307.48</v>
      </c>
      <c r="K162" s="172">
        <f t="shared" si="8"/>
        <v>276732</v>
      </c>
      <c r="L162" s="172">
        <f t="shared" si="9"/>
        <v>0.27673199999999998</v>
      </c>
      <c r="M162" s="172">
        <f t="shared" si="10"/>
        <v>2172.3462</v>
      </c>
      <c r="T162" t="s">
        <v>886</v>
      </c>
    </row>
    <row r="163" spans="1:20">
      <c r="A163" t="s">
        <v>869</v>
      </c>
      <c r="B163" t="s">
        <v>918</v>
      </c>
      <c r="C163" t="s">
        <v>807</v>
      </c>
      <c r="D163">
        <v>900</v>
      </c>
      <c r="E163">
        <v>0</v>
      </c>
      <c r="G163" t="s">
        <v>912</v>
      </c>
      <c r="J163" s="172">
        <v>307.48</v>
      </c>
      <c r="K163" s="172">
        <f t="shared" si="8"/>
        <v>276732</v>
      </c>
      <c r="L163" s="172">
        <f t="shared" si="9"/>
        <v>0.27673199999999998</v>
      </c>
      <c r="M163" s="172">
        <f t="shared" si="10"/>
        <v>2172.3462</v>
      </c>
      <c r="T163" t="s">
        <v>886</v>
      </c>
    </row>
    <row r="164" spans="1:20">
      <c r="A164" t="s">
        <v>869</v>
      </c>
      <c r="B164" t="s">
        <v>919</v>
      </c>
      <c r="C164" t="s">
        <v>807</v>
      </c>
      <c r="D164">
        <v>1000</v>
      </c>
      <c r="E164">
        <v>0</v>
      </c>
      <c r="G164" t="s">
        <v>912</v>
      </c>
      <c r="J164" s="172">
        <v>307.48</v>
      </c>
      <c r="K164" s="172">
        <f t="shared" si="8"/>
        <v>307480</v>
      </c>
      <c r="L164" s="172">
        <f t="shared" si="9"/>
        <v>0.30747999999999998</v>
      </c>
      <c r="M164" s="172">
        <f t="shared" si="10"/>
        <v>2413.7179999999998</v>
      </c>
      <c r="T164" t="s">
        <v>886</v>
      </c>
    </row>
    <row r="165" spans="1:20">
      <c r="A165" t="s">
        <v>869</v>
      </c>
      <c r="B165" t="s">
        <v>932</v>
      </c>
      <c r="C165" t="s">
        <v>808</v>
      </c>
      <c r="D165">
        <v>640.31200000000001</v>
      </c>
      <c r="E165">
        <v>0</v>
      </c>
      <c r="G165" t="s">
        <v>933</v>
      </c>
      <c r="J165" s="172">
        <v>36</v>
      </c>
      <c r="K165" s="172">
        <f t="shared" si="8"/>
        <v>23051.232</v>
      </c>
      <c r="L165" s="172">
        <f t="shared" si="9"/>
        <v>2.3051232000000001E-2</v>
      </c>
      <c r="M165" s="172">
        <f t="shared" si="10"/>
        <v>180.95217120000001</v>
      </c>
      <c r="T165" t="s">
        <v>886</v>
      </c>
    </row>
    <row r="166" spans="1:20">
      <c r="A166" t="s">
        <v>869</v>
      </c>
      <c r="B166" t="s">
        <v>934</v>
      </c>
      <c r="C166" t="s">
        <v>808</v>
      </c>
      <c r="D166">
        <v>640.31200000000001</v>
      </c>
      <c r="E166">
        <v>0</v>
      </c>
      <c r="G166" t="s">
        <v>933</v>
      </c>
      <c r="J166" s="172">
        <v>36</v>
      </c>
      <c r="K166" s="172">
        <f t="shared" si="8"/>
        <v>23051.232</v>
      </c>
      <c r="L166" s="172">
        <f t="shared" si="9"/>
        <v>2.3051232000000001E-2</v>
      </c>
      <c r="M166" s="172">
        <f t="shared" si="10"/>
        <v>180.95217120000001</v>
      </c>
      <c r="T166" t="s">
        <v>886</v>
      </c>
    </row>
    <row r="167" spans="1:20">
      <c r="A167" t="s">
        <v>869</v>
      </c>
      <c r="B167" t="s">
        <v>935</v>
      </c>
      <c r="C167" t="s">
        <v>808</v>
      </c>
      <c r="D167">
        <v>640.31200000000001</v>
      </c>
      <c r="E167">
        <v>0</v>
      </c>
      <c r="G167" t="s">
        <v>933</v>
      </c>
      <c r="J167" s="172">
        <v>36</v>
      </c>
      <c r="K167" s="172">
        <f t="shared" si="8"/>
        <v>23051.232</v>
      </c>
      <c r="L167" s="172">
        <f t="shared" si="9"/>
        <v>2.3051232000000001E-2</v>
      </c>
      <c r="M167" s="172">
        <f t="shared" si="10"/>
        <v>180.95217120000001</v>
      </c>
      <c r="T167" t="s">
        <v>886</v>
      </c>
    </row>
    <row r="168" spans="1:20">
      <c r="A168" t="s">
        <v>869</v>
      </c>
      <c r="B168" t="s">
        <v>936</v>
      </c>
      <c r="C168" t="s">
        <v>808</v>
      </c>
      <c r="D168">
        <v>640.31200000000001</v>
      </c>
      <c r="E168">
        <v>0</v>
      </c>
      <c r="G168" t="s">
        <v>933</v>
      </c>
      <c r="J168" s="172">
        <v>36</v>
      </c>
      <c r="K168" s="172">
        <f t="shared" si="8"/>
        <v>23051.232</v>
      </c>
      <c r="L168" s="172">
        <f t="shared" si="9"/>
        <v>2.3051232000000001E-2</v>
      </c>
      <c r="M168" s="172">
        <f t="shared" si="10"/>
        <v>180.95217120000001</v>
      </c>
      <c r="T168" t="s">
        <v>886</v>
      </c>
    </row>
    <row r="169" spans="1:20">
      <c r="A169" t="s">
        <v>869</v>
      </c>
      <c r="B169" t="s">
        <v>928</v>
      </c>
      <c r="C169" t="s">
        <v>808</v>
      </c>
      <c r="D169">
        <v>583.63099999999997</v>
      </c>
      <c r="E169">
        <v>0</v>
      </c>
      <c r="G169" t="s">
        <v>903</v>
      </c>
      <c r="J169">
        <v>188.22</v>
      </c>
      <c r="K169" s="172">
        <f t="shared" si="8"/>
        <v>109851.02682</v>
      </c>
      <c r="L169" s="172">
        <f t="shared" si="9"/>
        <v>0.10985102682</v>
      </c>
      <c r="M169" s="172">
        <f t="shared" si="10"/>
        <v>862.330560537</v>
      </c>
      <c r="T169" t="s">
        <v>886</v>
      </c>
    </row>
    <row r="170" spans="1:20">
      <c r="A170" t="s">
        <v>869</v>
      </c>
      <c r="B170" t="s">
        <v>929</v>
      </c>
      <c r="C170" t="s">
        <v>808</v>
      </c>
      <c r="D170">
        <v>583.63099999999997</v>
      </c>
      <c r="E170">
        <v>0</v>
      </c>
      <c r="G170" t="s">
        <v>903</v>
      </c>
      <c r="J170" s="172">
        <v>188.22</v>
      </c>
      <c r="K170" s="172">
        <f t="shared" si="8"/>
        <v>109851.02682</v>
      </c>
      <c r="L170" s="172">
        <f t="shared" si="9"/>
        <v>0.10985102682</v>
      </c>
      <c r="M170" s="172">
        <f t="shared" si="10"/>
        <v>862.330560537</v>
      </c>
      <c r="T170" t="s">
        <v>886</v>
      </c>
    </row>
    <row r="171" spans="1:20">
      <c r="A171" t="s">
        <v>869</v>
      </c>
      <c r="B171" t="s">
        <v>930</v>
      </c>
      <c r="C171" t="s">
        <v>808</v>
      </c>
      <c r="D171">
        <v>583.63099999999997</v>
      </c>
      <c r="E171">
        <v>0</v>
      </c>
      <c r="G171" t="s">
        <v>903</v>
      </c>
      <c r="J171" s="172">
        <v>188.22</v>
      </c>
      <c r="K171" s="172">
        <f t="shared" si="8"/>
        <v>109851.02682</v>
      </c>
      <c r="L171" s="172">
        <f t="shared" si="9"/>
        <v>0.10985102682</v>
      </c>
      <c r="M171" s="172">
        <f t="shared" si="10"/>
        <v>862.330560537</v>
      </c>
      <c r="T171" t="s">
        <v>886</v>
      </c>
    </row>
    <row r="172" spans="1:20">
      <c r="A172" t="s">
        <v>869</v>
      </c>
      <c r="B172" t="s">
        <v>931</v>
      </c>
      <c r="C172" t="s">
        <v>808</v>
      </c>
      <c r="D172">
        <v>583.63099999999997</v>
      </c>
      <c r="E172">
        <v>0</v>
      </c>
      <c r="G172" t="s">
        <v>903</v>
      </c>
      <c r="J172" s="172">
        <v>188.22</v>
      </c>
      <c r="K172" s="172">
        <f t="shared" si="8"/>
        <v>109851.02682</v>
      </c>
      <c r="L172" s="172">
        <f t="shared" si="9"/>
        <v>0.10985102682</v>
      </c>
      <c r="M172" s="172">
        <f t="shared" si="10"/>
        <v>862.330560537</v>
      </c>
      <c r="T172" t="s">
        <v>886</v>
      </c>
    </row>
    <row r="173" spans="1:20">
      <c r="A173" t="s">
        <v>869</v>
      </c>
      <c r="B173" t="s">
        <v>884</v>
      </c>
      <c r="C173" t="s">
        <v>805</v>
      </c>
      <c r="D173">
        <v>400</v>
      </c>
      <c r="E173">
        <v>0</v>
      </c>
      <c r="G173" t="s">
        <v>885</v>
      </c>
      <c r="J173" s="172">
        <v>1539</v>
      </c>
      <c r="K173" s="172">
        <f t="shared" si="8"/>
        <v>615600</v>
      </c>
      <c r="L173" s="172">
        <f t="shared" si="9"/>
        <v>0.61560000000000004</v>
      </c>
      <c r="M173" s="172">
        <f t="shared" si="10"/>
        <v>4832.46</v>
      </c>
      <c r="T173" t="s">
        <v>886</v>
      </c>
    </row>
    <row r="174" spans="1:20">
      <c r="A174" t="s">
        <v>869</v>
      </c>
      <c r="B174" t="s">
        <v>887</v>
      </c>
      <c r="C174" t="s">
        <v>805</v>
      </c>
      <c r="D174">
        <v>400</v>
      </c>
      <c r="E174">
        <v>0</v>
      </c>
      <c r="G174" t="s">
        <v>885</v>
      </c>
      <c r="J174" s="172">
        <v>1539</v>
      </c>
      <c r="K174" s="172">
        <f t="shared" si="8"/>
        <v>615600</v>
      </c>
      <c r="L174" s="172">
        <f t="shared" si="9"/>
        <v>0.61560000000000004</v>
      </c>
      <c r="M174" s="172">
        <f t="shared" si="10"/>
        <v>4832.46</v>
      </c>
      <c r="T174" t="s">
        <v>886</v>
      </c>
    </row>
    <row r="175" spans="1:20">
      <c r="A175" t="s">
        <v>869</v>
      </c>
      <c r="B175" t="s">
        <v>895</v>
      </c>
      <c r="C175" t="s">
        <v>805</v>
      </c>
      <c r="D175">
        <v>400</v>
      </c>
      <c r="E175">
        <v>0</v>
      </c>
      <c r="G175" t="s">
        <v>885</v>
      </c>
      <c r="J175" s="172">
        <v>1539</v>
      </c>
      <c r="K175" s="172">
        <f t="shared" si="8"/>
        <v>615600</v>
      </c>
      <c r="L175" s="172">
        <f t="shared" si="9"/>
        <v>0.61560000000000004</v>
      </c>
      <c r="M175" s="172">
        <f t="shared" si="10"/>
        <v>4832.46</v>
      </c>
      <c r="T175" t="s">
        <v>886</v>
      </c>
    </row>
    <row r="176" spans="1:20">
      <c r="A176" t="s">
        <v>869</v>
      </c>
      <c r="B176" t="s">
        <v>896</v>
      </c>
      <c r="C176" t="s">
        <v>805</v>
      </c>
      <c r="D176">
        <v>400</v>
      </c>
      <c r="E176">
        <v>0</v>
      </c>
      <c r="G176" t="s">
        <v>885</v>
      </c>
      <c r="J176" s="172">
        <v>1539</v>
      </c>
      <c r="K176" s="172">
        <f t="shared" si="8"/>
        <v>615600</v>
      </c>
      <c r="L176" s="172">
        <f t="shared" si="9"/>
        <v>0.61560000000000004</v>
      </c>
      <c r="M176" s="172">
        <f t="shared" si="10"/>
        <v>4832.46</v>
      </c>
      <c r="T176" t="s">
        <v>886</v>
      </c>
    </row>
    <row r="177" spans="1:20">
      <c r="A177" t="s">
        <v>869</v>
      </c>
      <c r="B177" t="s">
        <v>897</v>
      </c>
      <c r="C177" t="s">
        <v>805</v>
      </c>
      <c r="D177">
        <v>400</v>
      </c>
      <c r="E177">
        <v>0</v>
      </c>
      <c r="G177" t="s">
        <v>898</v>
      </c>
      <c r="J177" s="172">
        <v>130.1</v>
      </c>
      <c r="K177" s="172">
        <f t="shared" si="8"/>
        <v>52040</v>
      </c>
      <c r="L177" s="172">
        <f t="shared" si="9"/>
        <v>5.2040000000000003E-2</v>
      </c>
      <c r="M177" s="172">
        <f t="shared" si="10"/>
        <v>408.51400000000001</v>
      </c>
      <c r="T177" t="s">
        <v>886</v>
      </c>
    </row>
    <row r="178" spans="1:20">
      <c r="A178" t="s">
        <v>869</v>
      </c>
      <c r="B178" t="s">
        <v>899</v>
      </c>
      <c r="C178" t="s">
        <v>805</v>
      </c>
      <c r="D178">
        <v>400</v>
      </c>
      <c r="E178">
        <v>0</v>
      </c>
      <c r="G178" t="s">
        <v>898</v>
      </c>
      <c r="J178" s="172">
        <v>130.1</v>
      </c>
      <c r="K178" s="172">
        <f t="shared" si="8"/>
        <v>52040</v>
      </c>
      <c r="L178" s="172">
        <f t="shared" si="9"/>
        <v>5.2040000000000003E-2</v>
      </c>
      <c r="M178" s="172">
        <f t="shared" si="10"/>
        <v>408.51400000000001</v>
      </c>
      <c r="T178" t="s">
        <v>886</v>
      </c>
    </row>
    <row r="179" spans="1:20">
      <c r="A179" t="s">
        <v>869</v>
      </c>
      <c r="B179" t="s">
        <v>900</v>
      </c>
      <c r="C179" t="s">
        <v>805</v>
      </c>
      <c r="D179">
        <v>400</v>
      </c>
      <c r="E179">
        <v>0</v>
      </c>
      <c r="G179" t="s">
        <v>898</v>
      </c>
      <c r="J179" s="172">
        <v>130.1</v>
      </c>
      <c r="K179" s="172">
        <f t="shared" si="8"/>
        <v>52040</v>
      </c>
      <c r="L179" s="172">
        <f t="shared" si="9"/>
        <v>5.2040000000000003E-2</v>
      </c>
      <c r="M179" s="172">
        <f t="shared" si="10"/>
        <v>408.51400000000001</v>
      </c>
      <c r="T179" t="s">
        <v>886</v>
      </c>
    </row>
    <row r="180" spans="1:20">
      <c r="A180" t="s">
        <v>869</v>
      </c>
      <c r="B180" t="s">
        <v>901</v>
      </c>
      <c r="C180" t="s">
        <v>805</v>
      </c>
      <c r="D180">
        <v>400</v>
      </c>
      <c r="E180">
        <v>0</v>
      </c>
      <c r="G180" t="s">
        <v>898</v>
      </c>
      <c r="J180" s="172">
        <v>130.1</v>
      </c>
      <c r="K180" s="172">
        <f t="shared" si="8"/>
        <v>52040</v>
      </c>
      <c r="L180" s="172">
        <f t="shared" si="9"/>
        <v>5.2040000000000003E-2</v>
      </c>
      <c r="M180" s="172">
        <f t="shared" si="10"/>
        <v>408.51400000000001</v>
      </c>
      <c r="T180" t="s">
        <v>886</v>
      </c>
    </row>
    <row r="181" spans="1:20">
      <c r="A181" t="s">
        <v>869</v>
      </c>
      <c r="B181" t="s">
        <v>902</v>
      </c>
      <c r="C181" t="s">
        <v>805</v>
      </c>
      <c r="D181">
        <v>400</v>
      </c>
      <c r="E181">
        <v>0</v>
      </c>
      <c r="G181" t="s">
        <v>903</v>
      </c>
      <c r="J181" s="172">
        <v>188.22</v>
      </c>
      <c r="K181" s="172">
        <f t="shared" si="8"/>
        <v>75288</v>
      </c>
      <c r="L181" s="172">
        <f t="shared" si="9"/>
        <v>7.5287999999999994E-2</v>
      </c>
      <c r="M181" s="172">
        <f t="shared" si="10"/>
        <v>591.0107999999999</v>
      </c>
      <c r="T181" t="s">
        <v>886</v>
      </c>
    </row>
    <row r="182" spans="1:20">
      <c r="A182" t="s">
        <v>869</v>
      </c>
      <c r="B182" t="s">
        <v>904</v>
      </c>
      <c r="C182" t="s">
        <v>805</v>
      </c>
      <c r="D182">
        <v>400</v>
      </c>
      <c r="E182">
        <v>0</v>
      </c>
      <c r="G182" t="s">
        <v>903</v>
      </c>
      <c r="J182" s="172">
        <v>188.22</v>
      </c>
      <c r="K182" s="172">
        <f t="shared" si="8"/>
        <v>75288</v>
      </c>
      <c r="L182" s="172">
        <f t="shared" si="9"/>
        <v>7.5287999999999994E-2</v>
      </c>
      <c r="M182" s="172">
        <f t="shared" si="10"/>
        <v>591.0107999999999</v>
      </c>
      <c r="T182" t="s">
        <v>886</v>
      </c>
    </row>
    <row r="183" spans="1:20">
      <c r="A183" t="s">
        <v>869</v>
      </c>
      <c r="B183" t="s">
        <v>905</v>
      </c>
      <c r="C183" t="s">
        <v>805</v>
      </c>
      <c r="D183">
        <v>400</v>
      </c>
      <c r="E183">
        <v>0</v>
      </c>
      <c r="G183" t="s">
        <v>903</v>
      </c>
      <c r="J183" s="172">
        <v>188.22</v>
      </c>
      <c r="K183" s="172">
        <f t="shared" si="8"/>
        <v>75288</v>
      </c>
      <c r="L183" s="172">
        <f t="shared" si="9"/>
        <v>7.5287999999999994E-2</v>
      </c>
      <c r="M183" s="172">
        <f t="shared" si="10"/>
        <v>591.0107999999999</v>
      </c>
      <c r="T183" t="s">
        <v>886</v>
      </c>
    </row>
    <row r="184" spans="1:20">
      <c r="A184" t="s">
        <v>869</v>
      </c>
      <c r="B184" t="s">
        <v>906</v>
      </c>
      <c r="C184" t="s">
        <v>805</v>
      </c>
      <c r="D184">
        <v>400</v>
      </c>
      <c r="E184">
        <v>0</v>
      </c>
      <c r="G184" t="s">
        <v>903</v>
      </c>
      <c r="J184" s="172">
        <v>188.22</v>
      </c>
      <c r="K184" s="172">
        <f t="shared" si="8"/>
        <v>75288</v>
      </c>
      <c r="L184" s="172">
        <f t="shared" si="9"/>
        <v>7.5287999999999994E-2</v>
      </c>
      <c r="M184" s="172">
        <f t="shared" si="10"/>
        <v>591.0107999999999</v>
      </c>
      <c r="T184" t="s">
        <v>886</v>
      </c>
    </row>
    <row r="185" spans="1:20">
      <c r="A185" t="s">
        <v>869</v>
      </c>
      <c r="B185" t="s">
        <v>888</v>
      </c>
      <c r="C185" t="s">
        <v>805</v>
      </c>
      <c r="D185">
        <v>400</v>
      </c>
      <c r="E185">
        <v>0</v>
      </c>
      <c r="G185" t="s">
        <v>889</v>
      </c>
      <c r="J185">
        <v>260.72000000000003</v>
      </c>
      <c r="K185" s="172">
        <f t="shared" si="8"/>
        <v>104288.00000000001</v>
      </c>
      <c r="L185" s="172">
        <f t="shared" si="9"/>
        <v>0.10428800000000002</v>
      </c>
      <c r="M185" s="172">
        <f t="shared" si="10"/>
        <v>818.66080000000011</v>
      </c>
      <c r="T185" t="s">
        <v>886</v>
      </c>
    </row>
    <row r="186" spans="1:20">
      <c r="A186" t="s">
        <v>869</v>
      </c>
      <c r="B186" t="s">
        <v>890</v>
      </c>
      <c r="C186" t="s">
        <v>805</v>
      </c>
      <c r="D186">
        <v>400</v>
      </c>
      <c r="E186">
        <v>0</v>
      </c>
      <c r="G186" t="s">
        <v>889</v>
      </c>
      <c r="J186" s="172">
        <v>260.72000000000003</v>
      </c>
      <c r="K186" s="172">
        <f t="shared" si="8"/>
        <v>104288.00000000001</v>
      </c>
      <c r="L186" s="172">
        <f t="shared" si="9"/>
        <v>0.10428800000000002</v>
      </c>
      <c r="M186" s="172">
        <f t="shared" si="10"/>
        <v>818.66080000000011</v>
      </c>
      <c r="T186" t="s">
        <v>886</v>
      </c>
    </row>
    <row r="187" spans="1:20">
      <c r="A187" t="s">
        <v>869</v>
      </c>
      <c r="B187" t="s">
        <v>891</v>
      </c>
      <c r="C187" t="s">
        <v>805</v>
      </c>
      <c r="D187">
        <v>400</v>
      </c>
      <c r="E187">
        <v>0</v>
      </c>
      <c r="G187" t="s">
        <v>889</v>
      </c>
      <c r="J187" s="172">
        <v>260.72000000000003</v>
      </c>
      <c r="K187" s="172">
        <f t="shared" si="8"/>
        <v>104288.00000000001</v>
      </c>
      <c r="L187" s="172">
        <f t="shared" si="9"/>
        <v>0.10428800000000002</v>
      </c>
      <c r="M187" s="172">
        <f t="shared" si="10"/>
        <v>818.66080000000011</v>
      </c>
      <c r="T187" t="s">
        <v>886</v>
      </c>
    </row>
    <row r="188" spans="1:20">
      <c r="A188" t="s">
        <v>869</v>
      </c>
      <c r="B188" t="s">
        <v>892</v>
      </c>
      <c r="C188" t="s">
        <v>805</v>
      </c>
      <c r="D188">
        <v>400</v>
      </c>
      <c r="E188">
        <v>0</v>
      </c>
      <c r="G188" t="s">
        <v>889</v>
      </c>
      <c r="J188" s="172">
        <v>260.72000000000003</v>
      </c>
      <c r="K188" s="172">
        <f t="shared" si="8"/>
        <v>104288.00000000001</v>
      </c>
      <c r="L188" s="172">
        <f t="shared" si="9"/>
        <v>0.10428800000000002</v>
      </c>
      <c r="M188" s="172">
        <f t="shared" si="10"/>
        <v>818.66080000000011</v>
      </c>
      <c r="T188" t="s">
        <v>886</v>
      </c>
    </row>
    <row r="189" spans="1:20">
      <c r="A189" t="s">
        <v>869</v>
      </c>
      <c r="B189" t="s">
        <v>893</v>
      </c>
      <c r="C189" t="s">
        <v>805</v>
      </c>
      <c r="D189">
        <v>400</v>
      </c>
      <c r="E189">
        <v>0</v>
      </c>
      <c r="G189" t="s">
        <v>889</v>
      </c>
      <c r="J189" s="172">
        <v>260.72000000000003</v>
      </c>
      <c r="K189" s="172">
        <f t="shared" si="8"/>
        <v>104288.00000000001</v>
      </c>
      <c r="L189" s="172">
        <f t="shared" si="9"/>
        <v>0.10428800000000002</v>
      </c>
      <c r="M189" s="172">
        <f t="shared" si="10"/>
        <v>818.66080000000011</v>
      </c>
      <c r="T189" t="s">
        <v>886</v>
      </c>
    </row>
    <row r="190" spans="1:20">
      <c r="A190" t="s">
        <v>869</v>
      </c>
      <c r="B190" t="s">
        <v>894</v>
      </c>
      <c r="C190" t="s">
        <v>805</v>
      </c>
      <c r="D190">
        <v>400</v>
      </c>
      <c r="E190">
        <v>0</v>
      </c>
      <c r="G190" t="s">
        <v>889</v>
      </c>
      <c r="J190" s="172">
        <v>260.72000000000003</v>
      </c>
      <c r="K190" s="172">
        <f t="shared" si="8"/>
        <v>104288.00000000001</v>
      </c>
      <c r="L190" s="172">
        <f t="shared" si="9"/>
        <v>0.10428800000000002</v>
      </c>
      <c r="M190" s="172">
        <f t="shared" si="10"/>
        <v>818.66080000000011</v>
      </c>
      <c r="T190" t="s">
        <v>886</v>
      </c>
    </row>
    <row r="191" spans="1:20">
      <c r="A191" t="s">
        <v>858</v>
      </c>
      <c r="B191" t="s">
        <v>920</v>
      </c>
      <c r="C191" t="s">
        <v>807</v>
      </c>
      <c r="D191">
        <v>1000</v>
      </c>
      <c r="E191">
        <v>0</v>
      </c>
      <c r="G191" t="s">
        <v>909</v>
      </c>
      <c r="J191" s="172">
        <v>152.44</v>
      </c>
      <c r="K191" s="172">
        <f t="shared" si="8"/>
        <v>152440</v>
      </c>
      <c r="L191" s="172">
        <f t="shared" si="9"/>
        <v>0.15243999999999999</v>
      </c>
      <c r="M191" s="172">
        <f t="shared" si="10"/>
        <v>1196.654</v>
      </c>
      <c r="T191" t="s">
        <v>886</v>
      </c>
    </row>
    <row r="192" spans="1:20">
      <c r="A192" t="s">
        <v>858</v>
      </c>
      <c r="B192" t="s">
        <v>921</v>
      </c>
      <c r="C192" t="s">
        <v>807</v>
      </c>
      <c r="D192">
        <v>1000</v>
      </c>
      <c r="E192">
        <v>0</v>
      </c>
      <c r="G192" t="s">
        <v>909</v>
      </c>
      <c r="J192" s="172">
        <v>152.44</v>
      </c>
      <c r="K192" s="172">
        <f t="shared" si="8"/>
        <v>152440</v>
      </c>
      <c r="L192" s="172">
        <f t="shared" si="9"/>
        <v>0.15243999999999999</v>
      </c>
      <c r="M192" s="172">
        <f t="shared" si="10"/>
        <v>1196.654</v>
      </c>
      <c r="T192" t="s">
        <v>886</v>
      </c>
    </row>
    <row r="193" spans="1:20">
      <c r="A193" t="s">
        <v>858</v>
      </c>
      <c r="B193" t="s">
        <v>922</v>
      </c>
      <c r="C193" t="s">
        <v>807</v>
      </c>
      <c r="D193">
        <v>1000</v>
      </c>
      <c r="E193">
        <v>0</v>
      </c>
      <c r="G193" t="s">
        <v>923</v>
      </c>
      <c r="J193" s="172">
        <v>149.28</v>
      </c>
      <c r="K193" s="172">
        <f t="shared" ref="K193:K228" si="11">J193*D193</f>
        <v>149280</v>
      </c>
      <c r="L193" s="172">
        <f t="shared" ref="L193:L228" si="12">K193/1000000</f>
        <v>0.14928</v>
      </c>
      <c r="M193" s="172">
        <f t="shared" ref="M193:M228" si="13">L193*7850</f>
        <v>1171.848</v>
      </c>
      <c r="T193" t="s">
        <v>886</v>
      </c>
    </row>
    <row r="194" spans="1:20">
      <c r="A194" t="s">
        <v>858</v>
      </c>
      <c r="B194" t="s">
        <v>924</v>
      </c>
      <c r="C194" t="s">
        <v>807</v>
      </c>
      <c r="D194">
        <v>1000</v>
      </c>
      <c r="E194">
        <v>0</v>
      </c>
      <c r="G194" t="s">
        <v>923</v>
      </c>
      <c r="J194" s="172">
        <v>149.28</v>
      </c>
      <c r="K194" s="172">
        <f t="shared" si="11"/>
        <v>149280</v>
      </c>
      <c r="L194" s="172">
        <f t="shared" si="12"/>
        <v>0.14928</v>
      </c>
      <c r="M194" s="172">
        <f t="shared" si="13"/>
        <v>1171.848</v>
      </c>
      <c r="T194" t="s">
        <v>886</v>
      </c>
    </row>
    <row r="195" spans="1:20">
      <c r="A195" t="s">
        <v>858</v>
      </c>
      <c r="B195" t="s">
        <v>911</v>
      </c>
      <c r="C195" t="s">
        <v>807</v>
      </c>
      <c r="D195">
        <v>1000</v>
      </c>
      <c r="E195">
        <v>0</v>
      </c>
      <c r="G195" t="s">
        <v>912</v>
      </c>
      <c r="J195" s="172">
        <v>307.48</v>
      </c>
      <c r="K195" s="172">
        <f t="shared" si="11"/>
        <v>307480</v>
      </c>
      <c r="L195" s="172">
        <f t="shared" si="12"/>
        <v>0.30747999999999998</v>
      </c>
      <c r="M195" s="172">
        <f t="shared" si="13"/>
        <v>2413.7179999999998</v>
      </c>
      <c r="T195" t="s">
        <v>886</v>
      </c>
    </row>
    <row r="196" spans="1:20">
      <c r="A196" t="s">
        <v>858</v>
      </c>
      <c r="B196" t="s">
        <v>913</v>
      </c>
      <c r="C196" t="s">
        <v>807</v>
      </c>
      <c r="D196">
        <v>900</v>
      </c>
      <c r="E196">
        <v>0</v>
      </c>
      <c r="G196" t="s">
        <v>912</v>
      </c>
      <c r="J196" s="172">
        <v>307.48</v>
      </c>
      <c r="K196" s="172">
        <f t="shared" si="11"/>
        <v>276732</v>
      </c>
      <c r="L196" s="172">
        <f t="shared" si="12"/>
        <v>0.27673199999999998</v>
      </c>
      <c r="M196" s="172">
        <f t="shared" si="13"/>
        <v>2172.3462</v>
      </c>
      <c r="T196" t="s">
        <v>886</v>
      </c>
    </row>
    <row r="197" spans="1:20">
      <c r="A197" t="s">
        <v>858</v>
      </c>
      <c r="B197" t="s">
        <v>914</v>
      </c>
      <c r="C197" t="s">
        <v>807</v>
      </c>
      <c r="D197">
        <v>900</v>
      </c>
      <c r="E197">
        <v>0</v>
      </c>
      <c r="G197" t="s">
        <v>912</v>
      </c>
      <c r="J197">
        <v>307.48</v>
      </c>
      <c r="K197" s="172">
        <f t="shared" si="11"/>
        <v>276732</v>
      </c>
      <c r="L197" s="172">
        <f t="shared" si="12"/>
        <v>0.27673199999999998</v>
      </c>
      <c r="M197" s="172">
        <f t="shared" si="13"/>
        <v>2172.3462</v>
      </c>
      <c r="T197" t="s">
        <v>886</v>
      </c>
    </row>
    <row r="198" spans="1:20">
      <c r="A198" t="s">
        <v>858</v>
      </c>
      <c r="B198" t="s">
        <v>915</v>
      </c>
      <c r="C198" t="s">
        <v>807</v>
      </c>
      <c r="D198">
        <v>1000</v>
      </c>
      <c r="E198">
        <v>0</v>
      </c>
      <c r="G198" t="s">
        <v>912</v>
      </c>
      <c r="J198" s="172">
        <v>307.48</v>
      </c>
      <c r="K198" s="172">
        <f t="shared" si="11"/>
        <v>307480</v>
      </c>
      <c r="L198" s="172">
        <f t="shared" si="12"/>
        <v>0.30747999999999998</v>
      </c>
      <c r="M198" s="172">
        <f t="shared" si="13"/>
        <v>2413.7179999999998</v>
      </c>
      <c r="T198" t="s">
        <v>886</v>
      </c>
    </row>
    <row r="199" spans="1:20">
      <c r="A199" t="s">
        <v>858</v>
      </c>
      <c r="B199" t="s">
        <v>916</v>
      </c>
      <c r="C199" t="s">
        <v>807</v>
      </c>
      <c r="D199">
        <v>1000</v>
      </c>
      <c r="E199">
        <v>0</v>
      </c>
      <c r="G199" t="s">
        <v>912</v>
      </c>
      <c r="J199" s="172">
        <v>307.48</v>
      </c>
      <c r="K199" s="172">
        <f t="shared" si="11"/>
        <v>307480</v>
      </c>
      <c r="L199" s="172">
        <f t="shared" si="12"/>
        <v>0.30747999999999998</v>
      </c>
      <c r="M199" s="172">
        <f t="shared" si="13"/>
        <v>2413.7179999999998</v>
      </c>
      <c r="T199" t="s">
        <v>886</v>
      </c>
    </row>
    <row r="200" spans="1:20">
      <c r="A200" t="s">
        <v>858</v>
      </c>
      <c r="B200" t="s">
        <v>917</v>
      </c>
      <c r="C200" t="s">
        <v>807</v>
      </c>
      <c r="D200">
        <v>900</v>
      </c>
      <c r="E200">
        <v>0</v>
      </c>
      <c r="G200" t="s">
        <v>912</v>
      </c>
      <c r="J200" s="172">
        <v>307.48</v>
      </c>
      <c r="K200" s="172">
        <f t="shared" si="11"/>
        <v>276732</v>
      </c>
      <c r="L200" s="172">
        <f t="shared" si="12"/>
        <v>0.27673199999999998</v>
      </c>
      <c r="M200" s="172">
        <f t="shared" si="13"/>
        <v>2172.3462</v>
      </c>
      <c r="T200" t="s">
        <v>886</v>
      </c>
    </row>
    <row r="201" spans="1:20">
      <c r="A201" t="s">
        <v>858</v>
      </c>
      <c r="B201" t="s">
        <v>918</v>
      </c>
      <c r="C201" t="s">
        <v>807</v>
      </c>
      <c r="D201">
        <v>900</v>
      </c>
      <c r="E201">
        <v>0</v>
      </c>
      <c r="G201" t="s">
        <v>912</v>
      </c>
      <c r="J201" s="172">
        <v>307.48</v>
      </c>
      <c r="K201" s="172">
        <f t="shared" si="11"/>
        <v>276732</v>
      </c>
      <c r="L201" s="172">
        <f t="shared" si="12"/>
        <v>0.27673199999999998</v>
      </c>
      <c r="M201" s="172">
        <f t="shared" si="13"/>
        <v>2172.3462</v>
      </c>
      <c r="T201" t="s">
        <v>886</v>
      </c>
    </row>
    <row r="202" spans="1:20">
      <c r="A202" t="s">
        <v>858</v>
      </c>
      <c r="B202" t="s">
        <v>919</v>
      </c>
      <c r="C202" t="s">
        <v>807</v>
      </c>
      <c r="D202">
        <v>1000</v>
      </c>
      <c r="E202">
        <v>0</v>
      </c>
      <c r="G202" t="s">
        <v>912</v>
      </c>
      <c r="J202" s="172">
        <v>307.48</v>
      </c>
      <c r="K202" s="172">
        <f t="shared" si="11"/>
        <v>307480</v>
      </c>
      <c r="L202" s="172">
        <f t="shared" si="12"/>
        <v>0.30747999999999998</v>
      </c>
      <c r="M202" s="172">
        <f t="shared" si="13"/>
        <v>2413.7179999999998</v>
      </c>
      <c r="T202" t="s">
        <v>886</v>
      </c>
    </row>
    <row r="203" spans="1:20">
      <c r="A203" t="s">
        <v>858</v>
      </c>
      <c r="B203" t="s">
        <v>932</v>
      </c>
      <c r="C203" t="s">
        <v>808</v>
      </c>
      <c r="D203">
        <v>640.31200000000001</v>
      </c>
      <c r="E203">
        <v>0</v>
      </c>
      <c r="G203" t="s">
        <v>933</v>
      </c>
      <c r="J203" s="172">
        <v>36</v>
      </c>
      <c r="K203" s="172">
        <f t="shared" si="11"/>
        <v>23051.232</v>
      </c>
      <c r="L203" s="172">
        <f t="shared" si="12"/>
        <v>2.3051232000000001E-2</v>
      </c>
      <c r="M203" s="172">
        <f t="shared" si="13"/>
        <v>180.95217120000001</v>
      </c>
      <c r="T203" t="s">
        <v>886</v>
      </c>
    </row>
    <row r="204" spans="1:20">
      <c r="A204" t="s">
        <v>858</v>
      </c>
      <c r="B204" t="s">
        <v>934</v>
      </c>
      <c r="C204" t="s">
        <v>808</v>
      </c>
      <c r="D204">
        <v>640.31200000000001</v>
      </c>
      <c r="E204">
        <v>0</v>
      </c>
      <c r="G204" t="s">
        <v>933</v>
      </c>
      <c r="J204" s="172">
        <v>36</v>
      </c>
      <c r="K204" s="172">
        <f t="shared" si="11"/>
        <v>23051.232</v>
      </c>
      <c r="L204" s="172">
        <f t="shared" si="12"/>
        <v>2.3051232000000001E-2</v>
      </c>
      <c r="M204" s="172">
        <f t="shared" si="13"/>
        <v>180.95217120000001</v>
      </c>
      <c r="T204" t="s">
        <v>886</v>
      </c>
    </row>
    <row r="205" spans="1:20">
      <c r="A205" t="s">
        <v>858</v>
      </c>
      <c r="B205" t="s">
        <v>935</v>
      </c>
      <c r="C205" t="s">
        <v>808</v>
      </c>
      <c r="D205">
        <v>640.31200000000001</v>
      </c>
      <c r="E205">
        <v>0</v>
      </c>
      <c r="G205" t="s">
        <v>933</v>
      </c>
      <c r="J205" s="172">
        <v>36</v>
      </c>
      <c r="K205" s="172">
        <f t="shared" si="11"/>
        <v>23051.232</v>
      </c>
      <c r="L205" s="172">
        <f t="shared" si="12"/>
        <v>2.3051232000000001E-2</v>
      </c>
      <c r="M205" s="172">
        <f t="shared" si="13"/>
        <v>180.95217120000001</v>
      </c>
      <c r="T205" t="s">
        <v>886</v>
      </c>
    </row>
    <row r="206" spans="1:20">
      <c r="A206" t="s">
        <v>858</v>
      </c>
      <c r="B206" t="s">
        <v>936</v>
      </c>
      <c r="C206" t="s">
        <v>808</v>
      </c>
      <c r="D206">
        <v>640.31200000000001</v>
      </c>
      <c r="E206">
        <v>0</v>
      </c>
      <c r="G206" t="s">
        <v>933</v>
      </c>
      <c r="J206" s="172">
        <v>36</v>
      </c>
      <c r="K206" s="172">
        <f t="shared" si="11"/>
        <v>23051.232</v>
      </c>
      <c r="L206" s="172">
        <f t="shared" si="12"/>
        <v>2.3051232000000001E-2</v>
      </c>
      <c r="M206" s="172">
        <f t="shared" si="13"/>
        <v>180.95217120000001</v>
      </c>
      <c r="T206" t="s">
        <v>886</v>
      </c>
    </row>
    <row r="207" spans="1:20">
      <c r="A207" t="s">
        <v>858</v>
      </c>
      <c r="B207" t="s">
        <v>928</v>
      </c>
      <c r="C207" t="s">
        <v>808</v>
      </c>
      <c r="D207">
        <v>583.63099999999997</v>
      </c>
      <c r="E207">
        <v>0</v>
      </c>
      <c r="G207" t="s">
        <v>903</v>
      </c>
      <c r="J207" s="172">
        <v>188.22</v>
      </c>
      <c r="K207" s="172">
        <f t="shared" si="11"/>
        <v>109851.02682</v>
      </c>
      <c r="L207" s="172">
        <f t="shared" si="12"/>
        <v>0.10985102682</v>
      </c>
      <c r="M207" s="172">
        <f t="shared" si="13"/>
        <v>862.330560537</v>
      </c>
      <c r="T207" t="s">
        <v>886</v>
      </c>
    </row>
    <row r="208" spans="1:20">
      <c r="A208" t="s">
        <v>858</v>
      </c>
      <c r="B208" t="s">
        <v>929</v>
      </c>
      <c r="C208" t="s">
        <v>808</v>
      </c>
      <c r="D208">
        <v>583.63099999999997</v>
      </c>
      <c r="E208">
        <v>0</v>
      </c>
      <c r="G208" t="s">
        <v>903</v>
      </c>
      <c r="J208" s="172">
        <v>188.22</v>
      </c>
      <c r="K208" s="172">
        <f t="shared" si="11"/>
        <v>109851.02682</v>
      </c>
      <c r="L208" s="172">
        <f t="shared" si="12"/>
        <v>0.10985102682</v>
      </c>
      <c r="M208" s="172">
        <f t="shared" si="13"/>
        <v>862.330560537</v>
      </c>
      <c r="T208" t="s">
        <v>886</v>
      </c>
    </row>
    <row r="209" spans="1:20">
      <c r="A209" t="s">
        <v>858</v>
      </c>
      <c r="B209" t="s">
        <v>930</v>
      </c>
      <c r="C209" t="s">
        <v>808</v>
      </c>
      <c r="D209">
        <v>583.63099999999997</v>
      </c>
      <c r="E209">
        <v>0</v>
      </c>
      <c r="G209" t="s">
        <v>903</v>
      </c>
      <c r="J209" s="172">
        <v>188.22</v>
      </c>
      <c r="K209" s="172">
        <f t="shared" si="11"/>
        <v>109851.02682</v>
      </c>
      <c r="L209" s="172">
        <f t="shared" si="12"/>
        <v>0.10985102682</v>
      </c>
      <c r="M209" s="172">
        <f t="shared" si="13"/>
        <v>862.330560537</v>
      </c>
      <c r="T209" t="s">
        <v>886</v>
      </c>
    </row>
    <row r="210" spans="1:20">
      <c r="A210" t="s">
        <v>858</v>
      </c>
      <c r="B210" t="s">
        <v>931</v>
      </c>
      <c r="C210" t="s">
        <v>808</v>
      </c>
      <c r="D210">
        <v>583.63099999999997</v>
      </c>
      <c r="E210">
        <v>0</v>
      </c>
      <c r="G210" t="s">
        <v>903</v>
      </c>
      <c r="J210" s="172">
        <v>188.22</v>
      </c>
      <c r="K210" s="172">
        <f t="shared" si="11"/>
        <v>109851.02682</v>
      </c>
      <c r="L210" s="172">
        <f t="shared" si="12"/>
        <v>0.10985102682</v>
      </c>
      <c r="M210" s="172">
        <f t="shared" si="13"/>
        <v>862.330560537</v>
      </c>
      <c r="T210" t="s">
        <v>886</v>
      </c>
    </row>
    <row r="211" spans="1:20">
      <c r="A211" t="s">
        <v>858</v>
      </c>
      <c r="B211" t="s">
        <v>884</v>
      </c>
      <c r="C211" t="s">
        <v>805</v>
      </c>
      <c r="D211">
        <v>400</v>
      </c>
      <c r="E211">
        <v>0</v>
      </c>
      <c r="G211" t="s">
        <v>885</v>
      </c>
      <c r="J211" s="172">
        <v>1539</v>
      </c>
      <c r="K211" s="172">
        <f t="shared" si="11"/>
        <v>615600</v>
      </c>
      <c r="L211" s="172">
        <f t="shared" si="12"/>
        <v>0.61560000000000004</v>
      </c>
      <c r="M211" s="172">
        <f t="shared" si="13"/>
        <v>4832.46</v>
      </c>
      <c r="T211" t="s">
        <v>886</v>
      </c>
    </row>
    <row r="212" spans="1:20">
      <c r="A212" t="s">
        <v>858</v>
      </c>
      <c r="B212" t="s">
        <v>887</v>
      </c>
      <c r="C212" t="s">
        <v>805</v>
      </c>
      <c r="D212">
        <v>400</v>
      </c>
      <c r="E212">
        <v>0</v>
      </c>
      <c r="G212" t="s">
        <v>885</v>
      </c>
      <c r="J212" s="172">
        <v>1539</v>
      </c>
      <c r="K212" s="172">
        <f t="shared" si="11"/>
        <v>615600</v>
      </c>
      <c r="L212" s="172">
        <f t="shared" si="12"/>
        <v>0.61560000000000004</v>
      </c>
      <c r="M212" s="172">
        <f t="shared" si="13"/>
        <v>4832.46</v>
      </c>
      <c r="T212" t="s">
        <v>886</v>
      </c>
    </row>
    <row r="213" spans="1:20">
      <c r="A213" t="s">
        <v>858</v>
      </c>
      <c r="B213" t="s">
        <v>895</v>
      </c>
      <c r="C213" t="s">
        <v>805</v>
      </c>
      <c r="D213">
        <v>400</v>
      </c>
      <c r="E213">
        <v>0</v>
      </c>
      <c r="G213" t="s">
        <v>885</v>
      </c>
      <c r="J213" s="172">
        <v>1539</v>
      </c>
      <c r="K213" s="172">
        <f t="shared" si="11"/>
        <v>615600</v>
      </c>
      <c r="L213" s="172">
        <f t="shared" si="12"/>
        <v>0.61560000000000004</v>
      </c>
      <c r="M213" s="172">
        <f t="shared" si="13"/>
        <v>4832.46</v>
      </c>
      <c r="T213" t="s">
        <v>886</v>
      </c>
    </row>
    <row r="214" spans="1:20">
      <c r="A214" t="s">
        <v>858</v>
      </c>
      <c r="B214" t="s">
        <v>896</v>
      </c>
      <c r="C214" t="s">
        <v>805</v>
      </c>
      <c r="D214">
        <v>400</v>
      </c>
      <c r="E214">
        <v>0</v>
      </c>
      <c r="G214" t="s">
        <v>885</v>
      </c>
      <c r="J214" s="172">
        <v>1539</v>
      </c>
      <c r="K214" s="172">
        <f t="shared" si="11"/>
        <v>615600</v>
      </c>
      <c r="L214" s="172">
        <f t="shared" si="12"/>
        <v>0.61560000000000004</v>
      </c>
      <c r="M214" s="172">
        <f t="shared" si="13"/>
        <v>4832.46</v>
      </c>
      <c r="T214" t="s">
        <v>886</v>
      </c>
    </row>
    <row r="215" spans="1:20">
      <c r="A215" t="s">
        <v>858</v>
      </c>
      <c r="B215" t="s">
        <v>897</v>
      </c>
      <c r="C215" t="s">
        <v>805</v>
      </c>
      <c r="D215">
        <v>400</v>
      </c>
      <c r="E215">
        <v>0</v>
      </c>
      <c r="G215" t="s">
        <v>898</v>
      </c>
      <c r="J215" s="172">
        <v>130.1</v>
      </c>
      <c r="K215" s="172">
        <f t="shared" si="11"/>
        <v>52040</v>
      </c>
      <c r="L215" s="172">
        <f t="shared" si="12"/>
        <v>5.2040000000000003E-2</v>
      </c>
      <c r="M215" s="172">
        <f t="shared" si="13"/>
        <v>408.51400000000001</v>
      </c>
      <c r="T215" t="s">
        <v>886</v>
      </c>
    </row>
    <row r="216" spans="1:20">
      <c r="A216" t="s">
        <v>858</v>
      </c>
      <c r="B216" t="s">
        <v>899</v>
      </c>
      <c r="C216" t="s">
        <v>805</v>
      </c>
      <c r="D216">
        <v>400</v>
      </c>
      <c r="E216">
        <v>0</v>
      </c>
      <c r="G216" t="s">
        <v>898</v>
      </c>
      <c r="J216" s="172">
        <v>130.1</v>
      </c>
      <c r="K216" s="172">
        <f t="shared" si="11"/>
        <v>52040</v>
      </c>
      <c r="L216" s="172">
        <f t="shared" si="12"/>
        <v>5.2040000000000003E-2</v>
      </c>
      <c r="M216" s="172">
        <f t="shared" si="13"/>
        <v>408.51400000000001</v>
      </c>
      <c r="T216" t="s">
        <v>886</v>
      </c>
    </row>
    <row r="217" spans="1:20">
      <c r="A217" t="s">
        <v>858</v>
      </c>
      <c r="B217" t="s">
        <v>900</v>
      </c>
      <c r="C217" t="s">
        <v>805</v>
      </c>
      <c r="D217">
        <v>400</v>
      </c>
      <c r="E217">
        <v>0</v>
      </c>
      <c r="G217" t="s">
        <v>898</v>
      </c>
      <c r="J217" s="172">
        <v>130.1</v>
      </c>
      <c r="K217" s="172">
        <f t="shared" si="11"/>
        <v>52040</v>
      </c>
      <c r="L217" s="172">
        <f t="shared" si="12"/>
        <v>5.2040000000000003E-2</v>
      </c>
      <c r="M217" s="172">
        <f t="shared" si="13"/>
        <v>408.51400000000001</v>
      </c>
      <c r="T217" t="s">
        <v>886</v>
      </c>
    </row>
    <row r="218" spans="1:20">
      <c r="A218" t="s">
        <v>858</v>
      </c>
      <c r="B218" t="s">
        <v>901</v>
      </c>
      <c r="C218" t="s">
        <v>805</v>
      </c>
      <c r="D218">
        <v>400</v>
      </c>
      <c r="E218">
        <v>0</v>
      </c>
      <c r="G218" t="s">
        <v>898</v>
      </c>
      <c r="J218" s="172">
        <v>130.1</v>
      </c>
      <c r="K218" s="172">
        <f t="shared" si="11"/>
        <v>52040</v>
      </c>
      <c r="L218" s="172">
        <f t="shared" si="12"/>
        <v>5.2040000000000003E-2</v>
      </c>
      <c r="M218" s="172">
        <f t="shared" si="13"/>
        <v>408.51400000000001</v>
      </c>
      <c r="T218" t="s">
        <v>886</v>
      </c>
    </row>
    <row r="219" spans="1:20">
      <c r="A219" t="s">
        <v>858</v>
      </c>
      <c r="B219" t="s">
        <v>902</v>
      </c>
      <c r="C219" t="s">
        <v>805</v>
      </c>
      <c r="D219">
        <v>400</v>
      </c>
      <c r="E219">
        <v>0</v>
      </c>
      <c r="G219" t="s">
        <v>903</v>
      </c>
      <c r="J219" s="172">
        <v>188.22</v>
      </c>
      <c r="K219" s="172">
        <f t="shared" si="11"/>
        <v>75288</v>
      </c>
      <c r="L219" s="172">
        <f t="shared" si="12"/>
        <v>7.5287999999999994E-2</v>
      </c>
      <c r="M219" s="172">
        <f t="shared" si="13"/>
        <v>591.0107999999999</v>
      </c>
      <c r="T219" t="s">
        <v>886</v>
      </c>
    </row>
    <row r="220" spans="1:20">
      <c r="A220" t="s">
        <v>858</v>
      </c>
      <c r="B220" t="s">
        <v>904</v>
      </c>
      <c r="C220" t="s">
        <v>805</v>
      </c>
      <c r="D220">
        <v>400</v>
      </c>
      <c r="E220">
        <v>0</v>
      </c>
      <c r="G220" t="s">
        <v>903</v>
      </c>
      <c r="J220" s="172">
        <v>188.22</v>
      </c>
      <c r="K220" s="172">
        <f t="shared" si="11"/>
        <v>75288</v>
      </c>
      <c r="L220" s="172">
        <f t="shared" si="12"/>
        <v>7.5287999999999994E-2</v>
      </c>
      <c r="M220" s="172">
        <f t="shared" si="13"/>
        <v>591.0107999999999</v>
      </c>
      <c r="T220" t="s">
        <v>886</v>
      </c>
    </row>
    <row r="221" spans="1:20">
      <c r="A221" t="s">
        <v>858</v>
      </c>
      <c r="B221" t="s">
        <v>905</v>
      </c>
      <c r="C221" t="s">
        <v>805</v>
      </c>
      <c r="D221">
        <v>400</v>
      </c>
      <c r="E221">
        <v>0</v>
      </c>
      <c r="G221" t="s">
        <v>903</v>
      </c>
      <c r="J221" s="172">
        <v>188.22</v>
      </c>
      <c r="K221" s="172">
        <f t="shared" si="11"/>
        <v>75288</v>
      </c>
      <c r="L221" s="172">
        <f t="shared" si="12"/>
        <v>7.5287999999999994E-2</v>
      </c>
      <c r="M221" s="172">
        <f t="shared" si="13"/>
        <v>591.0107999999999</v>
      </c>
      <c r="T221" t="s">
        <v>886</v>
      </c>
    </row>
    <row r="222" spans="1:20">
      <c r="A222" t="s">
        <v>858</v>
      </c>
      <c r="B222" t="s">
        <v>906</v>
      </c>
      <c r="C222" t="s">
        <v>805</v>
      </c>
      <c r="D222">
        <v>400</v>
      </c>
      <c r="E222">
        <v>0</v>
      </c>
      <c r="G222" t="s">
        <v>903</v>
      </c>
      <c r="J222" s="172">
        <v>188.22</v>
      </c>
      <c r="K222" s="172">
        <f t="shared" si="11"/>
        <v>75288</v>
      </c>
      <c r="L222" s="172">
        <f t="shared" si="12"/>
        <v>7.5287999999999994E-2</v>
      </c>
      <c r="M222" s="172">
        <f t="shared" si="13"/>
        <v>591.0107999999999</v>
      </c>
      <c r="T222" t="s">
        <v>886</v>
      </c>
    </row>
    <row r="223" spans="1:20">
      <c r="A223" t="s">
        <v>858</v>
      </c>
      <c r="B223" t="s">
        <v>888</v>
      </c>
      <c r="C223" t="s">
        <v>805</v>
      </c>
      <c r="D223">
        <v>400</v>
      </c>
      <c r="E223">
        <v>0</v>
      </c>
      <c r="G223" t="s">
        <v>889</v>
      </c>
      <c r="J223" s="172">
        <v>260.72000000000003</v>
      </c>
      <c r="K223" s="172">
        <f t="shared" si="11"/>
        <v>104288.00000000001</v>
      </c>
      <c r="L223" s="172">
        <f t="shared" si="12"/>
        <v>0.10428800000000002</v>
      </c>
      <c r="M223" s="172">
        <f t="shared" si="13"/>
        <v>818.66080000000011</v>
      </c>
      <c r="T223" t="s">
        <v>886</v>
      </c>
    </row>
    <row r="224" spans="1:20">
      <c r="A224" t="s">
        <v>858</v>
      </c>
      <c r="B224" t="s">
        <v>890</v>
      </c>
      <c r="C224" t="s">
        <v>805</v>
      </c>
      <c r="D224">
        <v>400</v>
      </c>
      <c r="E224">
        <v>0</v>
      </c>
      <c r="G224" t="s">
        <v>889</v>
      </c>
      <c r="J224" s="172">
        <v>260.72000000000003</v>
      </c>
      <c r="K224" s="172">
        <f t="shared" si="11"/>
        <v>104288.00000000001</v>
      </c>
      <c r="L224" s="172">
        <f t="shared" si="12"/>
        <v>0.10428800000000002</v>
      </c>
      <c r="M224" s="172">
        <f t="shared" si="13"/>
        <v>818.66080000000011</v>
      </c>
      <c r="T224" t="s">
        <v>886</v>
      </c>
    </row>
    <row r="225" spans="1:20">
      <c r="A225" t="s">
        <v>858</v>
      </c>
      <c r="B225" t="s">
        <v>891</v>
      </c>
      <c r="C225" t="s">
        <v>805</v>
      </c>
      <c r="D225">
        <v>400</v>
      </c>
      <c r="E225">
        <v>0</v>
      </c>
      <c r="G225" t="s">
        <v>889</v>
      </c>
      <c r="J225" s="172">
        <v>260.72000000000003</v>
      </c>
      <c r="K225" s="172">
        <f t="shared" si="11"/>
        <v>104288.00000000001</v>
      </c>
      <c r="L225" s="172">
        <f t="shared" si="12"/>
        <v>0.10428800000000002</v>
      </c>
      <c r="M225" s="172">
        <f t="shared" si="13"/>
        <v>818.66080000000011</v>
      </c>
      <c r="T225" t="s">
        <v>886</v>
      </c>
    </row>
    <row r="226" spans="1:20">
      <c r="A226" t="s">
        <v>858</v>
      </c>
      <c r="B226" t="s">
        <v>892</v>
      </c>
      <c r="C226" t="s">
        <v>805</v>
      </c>
      <c r="D226">
        <v>400</v>
      </c>
      <c r="E226">
        <v>0</v>
      </c>
      <c r="G226" t="s">
        <v>889</v>
      </c>
      <c r="J226" s="172">
        <v>260.72000000000003</v>
      </c>
      <c r="K226" s="172">
        <f t="shared" si="11"/>
        <v>104288.00000000001</v>
      </c>
      <c r="L226" s="172">
        <f t="shared" si="12"/>
        <v>0.10428800000000002</v>
      </c>
      <c r="M226" s="172">
        <f t="shared" si="13"/>
        <v>818.66080000000011</v>
      </c>
      <c r="T226" t="s">
        <v>886</v>
      </c>
    </row>
    <row r="227" spans="1:20">
      <c r="A227" t="s">
        <v>858</v>
      </c>
      <c r="B227" t="s">
        <v>893</v>
      </c>
      <c r="C227" t="s">
        <v>805</v>
      </c>
      <c r="D227">
        <v>400</v>
      </c>
      <c r="E227">
        <v>0</v>
      </c>
      <c r="G227" t="s">
        <v>889</v>
      </c>
      <c r="J227" s="172">
        <v>260.72000000000003</v>
      </c>
      <c r="K227" s="172">
        <f t="shared" si="11"/>
        <v>104288.00000000001</v>
      </c>
      <c r="L227" s="172">
        <f t="shared" si="12"/>
        <v>0.10428800000000002</v>
      </c>
      <c r="M227" s="172">
        <f t="shared" si="13"/>
        <v>818.66080000000011</v>
      </c>
      <c r="T227" t="s">
        <v>886</v>
      </c>
    </row>
    <row r="228" spans="1:20">
      <c r="A228" t="s">
        <v>858</v>
      </c>
      <c r="B228" t="s">
        <v>894</v>
      </c>
      <c r="C228" t="s">
        <v>805</v>
      </c>
      <c r="D228">
        <v>400</v>
      </c>
      <c r="E228">
        <v>0</v>
      </c>
      <c r="G228" t="s">
        <v>889</v>
      </c>
      <c r="J228" s="172">
        <v>260.72000000000003</v>
      </c>
      <c r="K228" s="172">
        <f t="shared" si="11"/>
        <v>104288.00000000001</v>
      </c>
      <c r="L228" s="172">
        <f t="shared" si="12"/>
        <v>0.10428800000000002</v>
      </c>
      <c r="M228" s="172">
        <f t="shared" si="13"/>
        <v>818.66080000000011</v>
      </c>
      <c r="T228" t="s">
        <v>886</v>
      </c>
    </row>
  </sheetData>
  <sortState ref="A1:M228">
    <sortCondition ref="A1:A228"/>
    <sortCondition ref="C1:C228"/>
  </sortState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view="pageLayout" zoomScale="10" zoomScaleNormal="100" zoomScalePageLayoutView="10" workbookViewId="0">
      <selection activeCell="A97" sqref="A97"/>
    </sheetView>
  </sheetViews>
  <sheetFormatPr defaultColWidth="9" defaultRowHeight="15.75"/>
  <cols>
    <col min="1" max="1" width="12.625" style="6" customWidth="1"/>
    <col min="2" max="3" width="10.625" style="6" customWidth="1"/>
    <col min="4" max="6" width="9" style="6" customWidth="1"/>
    <col min="7" max="7" width="9" style="6"/>
    <col min="8" max="8" width="9" style="6" customWidth="1"/>
    <col min="9" max="16384" width="9" style="6"/>
  </cols>
  <sheetData>
    <row r="1" spans="1:9" ht="16.5">
      <c r="A1" s="51" t="s">
        <v>520</v>
      </c>
      <c r="B1" s="52"/>
      <c r="C1" s="53" t="s">
        <v>521</v>
      </c>
      <c r="D1" s="52"/>
      <c r="E1" s="52"/>
    </row>
    <row r="3" spans="1:9">
      <c r="A3" s="66" t="s">
        <v>536</v>
      </c>
      <c r="B3" s="14" t="str">
        <f>Sheet4!B3</f>
        <v>臺東縣</v>
      </c>
      <c r="C3" s="14" t="str">
        <f>Sheet4!C3</f>
        <v>臺東市</v>
      </c>
      <c r="D3" s="66"/>
      <c r="E3" s="66"/>
      <c r="F3" s="66"/>
      <c r="G3" s="66"/>
      <c r="H3" s="66"/>
      <c r="I3" s="66"/>
    </row>
    <row r="4" spans="1:9">
      <c r="A4" s="66" t="s">
        <v>537</v>
      </c>
      <c r="B4" s="70" t="s">
        <v>538</v>
      </c>
      <c r="C4" s="70" t="s">
        <v>539</v>
      </c>
      <c r="D4" s="70" t="s">
        <v>540</v>
      </c>
      <c r="E4" s="70" t="s">
        <v>541</v>
      </c>
      <c r="F4" s="71" t="s">
        <v>542</v>
      </c>
      <c r="G4" s="66"/>
      <c r="H4" s="66"/>
      <c r="I4" s="66"/>
    </row>
    <row r="5" spans="1:9">
      <c r="A5" s="66"/>
      <c r="B5" s="72">
        <f>Sheet4!A6</f>
        <v>0.8</v>
      </c>
      <c r="C5" s="72">
        <f>Sheet4!B6</f>
        <v>0.45</v>
      </c>
      <c r="D5" s="72">
        <f>Sheet4!C6</f>
        <v>1</v>
      </c>
      <c r="E5" s="72">
        <f>Sheet4!D6</f>
        <v>0.55000000000000004</v>
      </c>
      <c r="F5" s="71" t="str">
        <f>IF(Sheet4!E6=0,"不考慮",Sheet4!E6)</f>
        <v>不考慮</v>
      </c>
      <c r="G5" s="66"/>
      <c r="H5" s="66"/>
      <c r="I5" s="66"/>
    </row>
    <row r="6" spans="1:9">
      <c r="A6" s="66" t="s">
        <v>543</v>
      </c>
      <c r="B6" s="49" t="str">
        <f>Sheet4!C15</f>
        <v>鋼筋混泥土建築物、鋼骨鋼筋混凝土建築物及鋼造偏心斜撐建築物</v>
      </c>
      <c r="C6" s="53"/>
      <c r="D6" s="66"/>
      <c r="E6" s="66"/>
      <c r="F6" s="66"/>
      <c r="G6" s="66"/>
      <c r="H6" s="66"/>
      <c r="I6" s="66"/>
    </row>
    <row r="7" spans="1:9">
      <c r="A7" s="66" t="s">
        <v>544</v>
      </c>
      <c r="B7" s="73" t="s">
        <v>545</v>
      </c>
      <c r="C7" s="74">
        <f>Sheet4!C8</f>
        <v>4.8</v>
      </c>
      <c r="D7" s="66"/>
      <c r="E7" s="66"/>
      <c r="F7" s="66"/>
      <c r="G7" s="66"/>
      <c r="H7" s="66"/>
      <c r="I7" s="66"/>
    </row>
    <row r="8" spans="1:9">
      <c r="A8" s="66"/>
      <c r="B8" s="75" t="s">
        <v>546</v>
      </c>
      <c r="C8" s="76">
        <f>Sheet4!C9</f>
        <v>3.5333333333333332</v>
      </c>
      <c r="D8" s="66"/>
      <c r="E8" s="66"/>
      <c r="F8" s="66"/>
      <c r="G8" s="66"/>
      <c r="H8" s="66"/>
      <c r="I8" s="66"/>
    </row>
    <row r="9" spans="1:9">
      <c r="A9" s="66" t="s">
        <v>547</v>
      </c>
      <c r="B9" s="53">
        <f>Sheet4!C13</f>
        <v>17</v>
      </c>
      <c r="C9" s="53" t="s">
        <v>548</v>
      </c>
      <c r="D9" s="66"/>
      <c r="E9" s="66"/>
      <c r="F9" s="66"/>
      <c r="G9" s="66"/>
      <c r="H9" s="66"/>
      <c r="I9" s="66"/>
    </row>
    <row r="10" spans="1:9">
      <c r="A10" s="66" t="s">
        <v>549</v>
      </c>
      <c r="B10" s="53">
        <f>Sheet4!C16</f>
        <v>1.25</v>
      </c>
      <c r="C10" s="49" t="str">
        <f>Sheet4!D16</f>
        <v>第三類建築物</v>
      </c>
      <c r="D10" s="66"/>
      <c r="E10" s="66"/>
      <c r="F10" s="66"/>
      <c r="G10" s="66"/>
      <c r="H10" s="66"/>
      <c r="I10" s="66"/>
    </row>
    <row r="11" spans="1:9">
      <c r="A11" s="66" t="s">
        <v>550</v>
      </c>
      <c r="B11" s="53">
        <f>Sheet4!C17</f>
        <v>1</v>
      </c>
      <c r="C11" s="53"/>
      <c r="D11" s="66"/>
      <c r="E11" s="66"/>
      <c r="F11" s="66"/>
      <c r="G11" s="66"/>
      <c r="H11" s="66"/>
      <c r="I11" s="66"/>
    </row>
    <row r="12" spans="1:9">
      <c r="A12" s="66" t="s">
        <v>551</v>
      </c>
      <c r="B12" s="14" t="str">
        <f>F5</f>
        <v>不考慮</v>
      </c>
      <c r="C12" s="66"/>
      <c r="D12" s="66"/>
      <c r="E12" s="66"/>
      <c r="F12" s="66"/>
      <c r="G12" s="66"/>
      <c r="H12" s="66"/>
      <c r="I12" s="66"/>
    </row>
    <row r="13" spans="1:9">
      <c r="A13" s="66" t="s">
        <v>552</v>
      </c>
      <c r="B13" s="66"/>
      <c r="C13" s="66" t="str">
        <f>IF(Sheet4!E23=1000,"NA", Sheet4!E23)</f>
        <v>NA</v>
      </c>
      <c r="D13" s="66"/>
      <c r="E13" s="66"/>
      <c r="F13" s="66"/>
      <c r="G13" s="66"/>
      <c r="H13" s="66"/>
      <c r="I13" s="66"/>
    </row>
    <row r="14" spans="1:9">
      <c r="A14" s="66" t="s">
        <v>553</v>
      </c>
      <c r="B14" s="66"/>
      <c r="C14" s="66"/>
      <c r="D14" s="65" t="s">
        <v>554</v>
      </c>
      <c r="E14" s="65">
        <f>Sheet4!E24</f>
        <v>1</v>
      </c>
      <c r="F14" s="65" t="s">
        <v>555</v>
      </c>
      <c r="G14" s="65">
        <f>Sheet4!E25</f>
        <v>1</v>
      </c>
      <c r="H14" s="66"/>
      <c r="I14" s="66"/>
    </row>
    <row r="15" spans="1:9">
      <c r="A15" s="66" t="s">
        <v>556</v>
      </c>
      <c r="B15" s="66"/>
      <c r="C15" s="66"/>
      <c r="D15" s="65" t="s">
        <v>554</v>
      </c>
      <c r="E15" s="65">
        <f>Sheet4!E26</f>
        <v>1</v>
      </c>
      <c r="F15" s="65" t="s">
        <v>555</v>
      </c>
      <c r="G15" s="65">
        <f>Sheet4!E27</f>
        <v>1</v>
      </c>
      <c r="H15" s="66"/>
      <c r="I15" s="66"/>
    </row>
    <row r="16" spans="1:9">
      <c r="A16" s="66" t="s">
        <v>557</v>
      </c>
      <c r="B16" s="14" t="str">
        <f>Sheet4!B19</f>
        <v>第一類地盤</v>
      </c>
      <c r="C16" s="66"/>
      <c r="D16" s="66"/>
      <c r="E16" s="66"/>
      <c r="F16" s="66"/>
      <c r="G16" s="66"/>
      <c r="H16" s="66"/>
      <c r="I16" s="66"/>
    </row>
    <row r="17" spans="1:9">
      <c r="A17" s="210" t="s">
        <v>558</v>
      </c>
      <c r="B17" s="211" t="s">
        <v>559</v>
      </c>
      <c r="C17" s="212"/>
      <c r="D17" s="212"/>
      <c r="E17" s="212"/>
      <c r="F17" s="213"/>
      <c r="G17" s="66"/>
      <c r="H17" s="66"/>
      <c r="I17" s="66"/>
    </row>
    <row r="18" spans="1:9">
      <c r="A18" s="210"/>
      <c r="B18" s="87" t="s">
        <v>569</v>
      </c>
      <c r="C18" s="87" t="s">
        <v>570</v>
      </c>
      <c r="D18" s="87" t="s">
        <v>570</v>
      </c>
      <c r="E18" s="87" t="s">
        <v>570</v>
      </c>
      <c r="F18" s="87" t="s">
        <v>571</v>
      </c>
      <c r="G18" s="66"/>
      <c r="H18" s="66"/>
      <c r="I18" s="66"/>
    </row>
    <row r="19" spans="1:9">
      <c r="A19" s="210"/>
      <c r="B19" s="88">
        <v>0.5</v>
      </c>
      <c r="C19" s="88">
        <v>0.6</v>
      </c>
      <c r="D19" s="88">
        <v>0.7</v>
      </c>
      <c r="E19" s="88">
        <v>0.8</v>
      </c>
      <c r="F19" s="88">
        <v>0.9</v>
      </c>
      <c r="G19" s="66"/>
      <c r="H19" s="66"/>
      <c r="I19" s="66"/>
    </row>
    <row r="20" spans="1:9">
      <c r="A20" s="77" t="str">
        <f>IF($B$16="第一類地盤",'Soil type'!A5,IF($B$16="第二類地盤",'Soil type'!A6,IF($B$16="第三類地盤",'Soil type'!A7,"NA")))</f>
        <v>第一類地盤</v>
      </c>
      <c r="B20" s="78">
        <f>IF($B$16="第一類地盤",'Soil type'!B5,IF($B$16="第二類地盤",'Soil type'!B6,IF($B$16="第三類地盤",'Soil type'!B7,"NA")))</f>
        <v>1</v>
      </c>
      <c r="C20" s="78">
        <f>IF($B$16="第一類地盤",'Soil type'!C5,IF($B$16="第二類地盤",'Soil type'!C6,IF($B$16="第三類地盤",'Soil type'!C7,"NA")))</f>
        <v>1</v>
      </c>
      <c r="D20" s="78">
        <f>IF($B$16="第一類地盤",'Soil type'!D5,IF($B$16="第二類地盤",'Soil type'!D6,IF($B$16="第三類地盤",'Soil type'!D7,"NA")))</f>
        <v>1</v>
      </c>
      <c r="E20" s="78">
        <f>IF($B$16="第一類地盤",'Soil type'!E5,IF($B$16="第二類地盤",'Soil type'!E6,IF($B$16="第三類地盤",'Soil type'!E7,"NA")))</f>
        <v>1</v>
      </c>
      <c r="F20" s="78">
        <f>IF($B$16="第一類地盤",'Soil type'!F5,IF($B$16="第二類地盤",'Soil type'!F6,IF($B$16="第三類地盤",'Soil type'!F7,"NA")))</f>
        <v>1</v>
      </c>
      <c r="G20" s="66"/>
      <c r="H20" s="66"/>
      <c r="I20" s="66"/>
    </row>
    <row r="21" spans="1:9">
      <c r="A21" s="66"/>
      <c r="B21" s="66"/>
      <c r="C21" s="66"/>
      <c r="D21" s="66"/>
      <c r="E21" s="66"/>
      <c r="F21" s="66"/>
      <c r="G21" s="66"/>
      <c r="H21" s="66"/>
      <c r="I21" s="66"/>
    </row>
    <row r="22" spans="1:9">
      <c r="A22" s="210" t="s">
        <v>558</v>
      </c>
      <c r="B22" s="214" t="s">
        <v>560</v>
      </c>
      <c r="C22" s="214"/>
      <c r="D22" s="214"/>
      <c r="E22" s="214"/>
      <c r="F22" s="215"/>
      <c r="G22" s="66"/>
      <c r="H22" s="66"/>
      <c r="I22" s="66"/>
    </row>
    <row r="23" spans="1:9">
      <c r="A23" s="210"/>
      <c r="B23" s="87" t="s">
        <v>567</v>
      </c>
      <c r="C23" s="87" t="s">
        <v>568</v>
      </c>
      <c r="D23" s="87" t="s">
        <v>568</v>
      </c>
      <c r="E23" s="87" t="s">
        <v>568</v>
      </c>
      <c r="F23" s="87" t="s">
        <v>561</v>
      </c>
      <c r="G23" s="66"/>
      <c r="H23" s="66"/>
      <c r="I23" s="66"/>
    </row>
    <row r="24" spans="1:9">
      <c r="A24" s="210"/>
      <c r="B24" s="88">
        <v>0.3</v>
      </c>
      <c r="C24" s="88">
        <v>0.35</v>
      </c>
      <c r="D24" s="88">
        <v>0.4</v>
      </c>
      <c r="E24" s="88">
        <v>0.45</v>
      </c>
      <c r="F24" s="88">
        <v>0.5</v>
      </c>
      <c r="G24" s="66"/>
      <c r="H24" s="66"/>
      <c r="I24" s="66"/>
    </row>
    <row r="25" spans="1:9">
      <c r="A25" s="77" t="str">
        <f>IF($B$16="第一類地盤",'Soil type'!A13,IF($B$16="第二類地盤",'Soil type'!A14,IF($B$16="第三類地盤",'Soil type'!A15,"NA")))</f>
        <v>第一類地盤</v>
      </c>
      <c r="B25" s="78">
        <f>IF($B$16="第一類地盤",'Soil type'!B13,IF($B$16="第二類地盤",'Soil type'!B14,IF($B$16="第三類地盤",'Soil type'!B15,"NA")))</f>
        <v>1</v>
      </c>
      <c r="C25" s="78">
        <f>IF($B$16="第一類地盤",'Soil type'!C13,IF($B$16="第二類地盤",'Soil type'!C14,IF($B$16="第三類地盤",'Soil type'!C15,"NA")))</f>
        <v>1</v>
      </c>
      <c r="D25" s="78">
        <f>IF($B$16="第一類地盤",'Soil type'!D13,IF($B$16="第二類地盤",'Soil type'!D14,IF($B$16="第三類地盤",'Soil type'!D15,"NA")))</f>
        <v>1</v>
      </c>
      <c r="E25" s="78">
        <f>IF($B$16="第一類地盤",'Soil type'!E13,IF($B$16="第二類地盤",'Soil type'!E14,IF($B$16="第三類地盤",'Soil type'!E15,"NA")))</f>
        <v>1</v>
      </c>
      <c r="F25" s="86">
        <f>IF($B$16="第一類地盤",'Soil type'!F13,IF($B$16="第二類地盤",'Soil type'!F14,IF($B$16="第三類地盤",'Soil type'!F15,"NA")))</f>
        <v>1</v>
      </c>
      <c r="G25" s="66"/>
      <c r="H25" s="66"/>
      <c r="I25" s="66"/>
    </row>
    <row r="26" spans="1:9">
      <c r="A26" s="64" t="s">
        <v>522</v>
      </c>
      <c r="B26" s="65">
        <f>Sheet4!B29</f>
        <v>0.8</v>
      </c>
      <c r="C26" s="64" t="s">
        <v>523</v>
      </c>
      <c r="D26" s="65">
        <f>Sheet4!E29</f>
        <v>1</v>
      </c>
      <c r="E26" s="53"/>
      <c r="F26" s="64" t="s">
        <v>524</v>
      </c>
      <c r="G26" s="65">
        <f>Sheet4!H29</f>
        <v>0.8</v>
      </c>
      <c r="H26" s="66"/>
    </row>
    <row r="27" spans="1:9">
      <c r="A27" s="64" t="s">
        <v>525</v>
      </c>
      <c r="B27" s="65">
        <f>Sheet4!B30</f>
        <v>1</v>
      </c>
      <c r="C27" s="64" t="s">
        <v>523</v>
      </c>
      <c r="D27" s="65">
        <f>Sheet4!E30</f>
        <v>1</v>
      </c>
      <c r="E27" s="53"/>
      <c r="F27" s="64" t="s">
        <v>526</v>
      </c>
      <c r="G27" s="65">
        <f>Sheet4!H30</f>
        <v>1</v>
      </c>
      <c r="H27" s="66"/>
    </row>
    <row r="28" spans="1:9">
      <c r="A28" s="64" t="s">
        <v>527</v>
      </c>
      <c r="B28" s="65">
        <f>Sheet4!B31</f>
        <v>0.45</v>
      </c>
      <c r="C28" s="64" t="s">
        <v>528</v>
      </c>
      <c r="D28" s="65">
        <f>Sheet4!E31</f>
        <v>1</v>
      </c>
      <c r="E28" s="53"/>
      <c r="F28" s="64" t="s">
        <v>529</v>
      </c>
      <c r="G28" s="65">
        <f>Sheet4!H31</f>
        <v>0.45</v>
      </c>
      <c r="H28" s="66"/>
    </row>
    <row r="29" spans="1:9">
      <c r="A29" s="64" t="s">
        <v>530</v>
      </c>
      <c r="B29" s="65">
        <f>Sheet4!B32</f>
        <v>0.55000000000000004</v>
      </c>
      <c r="C29" s="64" t="s">
        <v>528</v>
      </c>
      <c r="D29" s="65">
        <f>Sheet4!E32</f>
        <v>1</v>
      </c>
      <c r="E29" s="53"/>
      <c r="F29" s="64" t="s">
        <v>531</v>
      </c>
      <c r="G29" s="65">
        <f>Sheet4!H32</f>
        <v>0.55000000000000004</v>
      </c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4" t="s">
        <v>498</v>
      </c>
      <c r="B31" s="67">
        <f>Sheet4!B37</f>
        <v>0.71163224243037881</v>
      </c>
      <c r="C31" s="53" t="str">
        <f>Sheet4!C37</f>
        <v>經驗公式</v>
      </c>
      <c r="D31" s="66"/>
      <c r="E31" s="66"/>
      <c r="F31" s="14"/>
      <c r="G31" s="66"/>
      <c r="H31" s="66"/>
    </row>
    <row r="32" spans="1:9">
      <c r="A32" s="64" t="s">
        <v>532</v>
      </c>
      <c r="B32" s="67">
        <f>Sheet4!B38</f>
        <v>0.5625</v>
      </c>
      <c r="C32" s="53" t="str">
        <f>Sheet4!C38</f>
        <v>sec</v>
      </c>
      <c r="D32" s="66"/>
      <c r="E32" s="66"/>
      <c r="F32" s="68"/>
      <c r="G32" s="66"/>
      <c r="H32" s="66"/>
    </row>
    <row r="33" spans="1:8">
      <c r="A33" s="64" t="s">
        <v>533</v>
      </c>
      <c r="B33" s="67">
        <f>Sheet4!B39</f>
        <v>0.55000000000000004</v>
      </c>
      <c r="C33" s="53" t="str">
        <f>Sheet4!C39</f>
        <v>sec</v>
      </c>
      <c r="D33" s="66"/>
      <c r="E33" s="66"/>
      <c r="F33" s="68"/>
      <c r="G33" s="66"/>
      <c r="H33" s="66"/>
    </row>
    <row r="34" spans="1:8">
      <c r="A34" s="66"/>
      <c r="B34" s="66"/>
      <c r="C34" s="66"/>
      <c r="D34" s="66"/>
      <c r="E34" s="66"/>
      <c r="F34" s="66"/>
      <c r="G34" s="66"/>
      <c r="H34" s="66"/>
    </row>
    <row r="35" spans="1:8">
      <c r="A35" s="64" t="s">
        <v>534</v>
      </c>
      <c r="B35" s="67">
        <f>Sheet4!B41</f>
        <v>0.6323490887135077</v>
      </c>
      <c r="C35" s="66"/>
      <c r="D35" s="61"/>
      <c r="E35" s="69"/>
      <c r="F35" s="69"/>
      <c r="G35" s="69"/>
      <c r="H35" s="69"/>
    </row>
    <row r="36" spans="1:8">
      <c r="A36" s="64" t="s">
        <v>535</v>
      </c>
      <c r="B36" s="67">
        <f>Sheet4!B42</f>
        <v>0.77287110842762052</v>
      </c>
      <c r="C36" s="66"/>
      <c r="D36" s="63"/>
      <c r="E36" s="63"/>
      <c r="F36" s="63"/>
      <c r="G36" s="63"/>
      <c r="H36" s="69"/>
    </row>
    <row r="37" spans="1:8" ht="15.75" customHeight="1">
      <c r="A37" s="66"/>
      <c r="B37" s="66"/>
      <c r="C37" s="66"/>
      <c r="D37" s="59"/>
      <c r="E37" s="60"/>
      <c r="F37" s="60"/>
      <c r="G37" s="60"/>
      <c r="H37" s="69"/>
    </row>
    <row r="38" spans="1:8" ht="16.5">
      <c r="B38" s="25"/>
      <c r="C38" s="25"/>
      <c r="D38" s="56"/>
      <c r="E38" s="57"/>
      <c r="F38" s="57"/>
      <c r="G38" s="57"/>
      <c r="H38" s="62"/>
    </row>
    <row r="39" spans="1:8" ht="16.5">
      <c r="D39" s="56"/>
      <c r="E39" s="57"/>
      <c r="F39" s="58"/>
      <c r="G39" s="58"/>
    </row>
    <row r="40" spans="1:8">
      <c r="E40" s="45"/>
    </row>
    <row r="41" spans="1:8">
      <c r="E41" s="45"/>
    </row>
    <row r="42" spans="1:8">
      <c r="A42" s="62"/>
      <c r="B42" s="62"/>
      <c r="C42" s="62"/>
      <c r="D42" s="62"/>
      <c r="E42" s="79"/>
      <c r="F42" s="62"/>
      <c r="G42" s="62"/>
    </row>
    <row r="43" spans="1:8">
      <c r="A43" s="80"/>
      <c r="B43" s="56"/>
      <c r="C43" s="56"/>
      <c r="D43" s="56"/>
      <c r="E43" s="79"/>
      <c r="F43" s="62"/>
      <c r="G43" s="62"/>
    </row>
    <row r="44" spans="1:8">
      <c r="A44" s="57"/>
      <c r="B44" s="56"/>
      <c r="C44" s="56"/>
      <c r="D44" s="56"/>
      <c r="E44" s="79"/>
      <c r="F44" s="62"/>
      <c r="G44" s="62"/>
    </row>
    <row r="45" spans="1:8">
      <c r="A45" s="79"/>
      <c r="B45" s="79"/>
      <c r="C45" s="79"/>
      <c r="D45" s="79"/>
      <c r="E45" s="79"/>
      <c r="F45" s="62"/>
      <c r="G45" s="62"/>
    </row>
    <row r="46" spans="1:8" ht="16.5">
      <c r="B46" s="81"/>
      <c r="C46" s="81"/>
      <c r="D46" s="81"/>
      <c r="E46" s="79"/>
      <c r="F46" s="62"/>
      <c r="G46" s="62"/>
    </row>
    <row r="47" spans="1:8" ht="16.5">
      <c r="B47" s="82"/>
      <c r="C47" s="82"/>
      <c r="D47" s="82"/>
      <c r="E47" s="79"/>
      <c r="F47" s="62"/>
      <c r="G47" s="62"/>
    </row>
    <row r="48" spans="1:8">
      <c r="A48" s="56"/>
      <c r="B48" s="57"/>
      <c r="C48" s="83"/>
      <c r="D48" s="57"/>
      <c r="E48" s="79"/>
      <c r="F48" s="62"/>
    </row>
    <row r="49" spans="1:9">
      <c r="C49" s="83"/>
      <c r="D49" s="57"/>
      <c r="E49" s="79"/>
      <c r="F49" s="62"/>
    </row>
    <row r="50" spans="1:9" ht="16.5">
      <c r="A50" s="5" t="s">
        <v>562</v>
      </c>
      <c r="C50" s="83"/>
      <c r="D50" s="57"/>
      <c r="E50" s="79"/>
      <c r="F50" s="62"/>
    </row>
    <row r="51" spans="1:9" ht="16.5">
      <c r="C51" s="83"/>
      <c r="D51" s="58"/>
      <c r="E51" s="79"/>
      <c r="F51" s="62"/>
    </row>
    <row r="52" spans="1:9" ht="16.5">
      <c r="A52" s="80"/>
      <c r="B52"/>
      <c r="C52" s="56"/>
      <c r="D52" s="56"/>
      <c r="E52" s="79"/>
      <c r="F52" s="62"/>
    </row>
    <row r="53" spans="1:9">
      <c r="A53" s="57"/>
      <c r="B53" s="56"/>
      <c r="C53" s="56"/>
      <c r="D53" s="56"/>
      <c r="E53" s="79"/>
      <c r="F53" s="62"/>
    </row>
    <row r="54" spans="1:9" ht="20.25">
      <c r="A54" s="79"/>
      <c r="B54" s="79"/>
      <c r="C54" s="79"/>
      <c r="D54" s="79"/>
      <c r="E54" s="79"/>
      <c r="F54" s="62"/>
      <c r="H54" s="48" t="s">
        <v>511</v>
      </c>
      <c r="I54" s="84">
        <f>Sheet4!B43</f>
        <v>3.5333333333333332</v>
      </c>
    </row>
    <row r="55" spans="1:9" ht="16.5">
      <c r="A55" s="79"/>
      <c r="B55"/>
      <c r="C55" s="79"/>
      <c r="D55" s="79"/>
      <c r="E55" s="79"/>
      <c r="F55" s="62"/>
    </row>
    <row r="56" spans="1:9">
      <c r="A56" s="45"/>
      <c r="B56" s="45"/>
      <c r="C56" s="45"/>
      <c r="D56" s="45"/>
      <c r="E56" s="45"/>
    </row>
    <row r="57" spans="1:9">
      <c r="A57" s="45"/>
      <c r="B57" s="45"/>
      <c r="C57" s="45"/>
      <c r="D57" s="45"/>
      <c r="E57" s="45"/>
    </row>
    <row r="58" spans="1:9">
      <c r="A58" s="45"/>
      <c r="B58" s="45"/>
      <c r="C58" s="45"/>
      <c r="D58" s="45"/>
      <c r="E58" s="45"/>
    </row>
    <row r="59" spans="1:9">
      <c r="A59" s="45"/>
      <c r="B59" s="45"/>
      <c r="C59" s="45"/>
      <c r="D59" s="45"/>
      <c r="E59" s="45"/>
    </row>
    <row r="60" spans="1:9" ht="20.25">
      <c r="G60" s="52"/>
      <c r="H60" s="50" t="s">
        <v>565</v>
      </c>
      <c r="I60" s="84">
        <f>Sheet4!B44</f>
        <v>0.17896672322080406</v>
      </c>
    </row>
    <row r="65" spans="1:9" ht="16.5">
      <c r="D65"/>
    </row>
    <row r="66" spans="1:9">
      <c r="G66" s="85" t="s">
        <v>513</v>
      </c>
      <c r="H66" s="52">
        <f>Sheet4!B47</f>
        <v>0.15979171716143223</v>
      </c>
      <c r="I66" s="52" t="s">
        <v>514</v>
      </c>
    </row>
    <row r="69" spans="1:9" ht="16.5">
      <c r="A69" s="5" t="s">
        <v>563</v>
      </c>
    </row>
    <row r="70" spans="1:9" ht="16.5">
      <c r="A70"/>
    </row>
    <row r="71" spans="1:9">
      <c r="G71" s="85" t="s">
        <v>515</v>
      </c>
      <c r="H71" s="52">
        <f>Sheet4!B48</f>
        <v>0.18819913354568679</v>
      </c>
      <c r="I71" s="52" t="s">
        <v>514</v>
      </c>
    </row>
    <row r="73" spans="1:9" ht="16.5">
      <c r="A73" s="5" t="s">
        <v>564</v>
      </c>
    </row>
    <row r="74" spans="1:9" ht="16.5">
      <c r="A74"/>
    </row>
    <row r="76" spans="1:9" ht="20.25">
      <c r="G76" s="52"/>
      <c r="H76" s="48" t="s">
        <v>517</v>
      </c>
      <c r="I76" s="84">
        <f>Sheet4!B45</f>
        <v>4.8</v>
      </c>
    </row>
    <row r="77" spans="1:9" ht="20.25">
      <c r="A77"/>
      <c r="G77" s="52"/>
      <c r="H77" s="50" t="s">
        <v>566</v>
      </c>
      <c r="I77" s="84">
        <f>Sheet4!B46</f>
        <v>0.16101481425575428</v>
      </c>
    </row>
    <row r="82" spans="1:9" ht="20.25">
      <c r="G82" s="85" t="s">
        <v>516</v>
      </c>
      <c r="H82" s="52">
        <f>Sheet4!B49</f>
        <v>0.14376322701406632</v>
      </c>
      <c r="I82" s="52" t="s">
        <v>514</v>
      </c>
    </row>
    <row r="84" spans="1:9" ht="16.5">
      <c r="A84" s="5"/>
    </row>
    <row r="85" spans="1:9" ht="16.5">
      <c r="A85" s="47" t="s">
        <v>605</v>
      </c>
      <c r="B85" s="52"/>
      <c r="C85" s="52">
        <f>MAX(H82,H71,H66)</f>
        <v>0.18819913354568679</v>
      </c>
      <c r="D85" s="52" t="s">
        <v>514</v>
      </c>
    </row>
  </sheetData>
  <mergeCells count="4">
    <mergeCell ref="A17:A19"/>
    <mergeCell ref="B17:F17"/>
    <mergeCell ref="A22:A24"/>
    <mergeCell ref="B22:F22"/>
  </mergeCells>
  <phoneticPr fontId="11" type="noConversion"/>
  <dataValidations disablePrompts="1" count="1">
    <dataValidation type="list" allowBlank="1" showInputMessage="1" showErrorMessage="1" sqref="E31">
      <formula1>$G$31:$G$33</formula1>
    </dataValidation>
  </dataValidations>
  <pageMargins left="0.7" right="0.3351449275362318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76200</xdr:colOff>
                <xdr:row>6</xdr:row>
                <xdr:rowOff>9525</xdr:rowOff>
              </from>
              <to>
                <xdr:col>4</xdr:col>
                <xdr:colOff>295275</xdr:colOff>
                <xdr:row>7</xdr:row>
                <xdr:rowOff>152400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3</xdr:col>
                <xdr:colOff>0</xdr:colOff>
                <xdr:row>31</xdr:row>
                <xdr:rowOff>47625</xdr:rowOff>
              </from>
              <to>
                <xdr:col>5</xdr:col>
                <xdr:colOff>200025</xdr:colOff>
                <xdr:row>33</xdr:row>
                <xdr:rowOff>19050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5" r:id="rId8">
          <objectPr defaultSize="0" autoPict="0" r:id="rId9">
            <anchor moveWithCells="1" sizeWithCells="1">
              <from>
                <xdr:col>2</xdr:col>
                <xdr:colOff>504825</xdr:colOff>
                <xdr:row>30</xdr:row>
                <xdr:rowOff>0</xdr:rowOff>
              </from>
              <to>
                <xdr:col>4</xdr:col>
                <xdr:colOff>142875</xdr:colOff>
                <xdr:row>31</xdr:row>
                <xdr:rowOff>19050</xdr:rowOff>
              </to>
            </anchor>
          </objectPr>
        </oleObject>
      </mc:Choice>
      <mc:Fallback>
        <oleObject progId="Equation.3" shapeId="2055" r:id="rId8"/>
      </mc:Fallback>
    </mc:AlternateContent>
    <mc:AlternateContent xmlns:mc="http://schemas.openxmlformats.org/markup-compatibility/2006">
      <mc:Choice Requires="x14">
        <oleObject progId="Equation.3" shapeId="2056" r:id="rId10">
          <objectPr defaultSize="0" autoPict="0" r:id="rId11">
            <anchor moveWithCells="1" sizeWithCells="1">
              <from>
                <xdr:col>10</xdr:col>
                <xdr:colOff>104775</xdr:colOff>
                <xdr:row>30</xdr:row>
                <xdr:rowOff>0</xdr:rowOff>
              </from>
              <to>
                <xdr:col>11</xdr:col>
                <xdr:colOff>238125</xdr:colOff>
                <xdr:row>31</xdr:row>
                <xdr:rowOff>19050</xdr:rowOff>
              </to>
            </anchor>
          </objectPr>
        </oleObject>
      </mc:Choice>
      <mc:Fallback>
        <oleObject progId="Equation.3" shapeId="2056" r:id="rId10"/>
      </mc:Fallback>
    </mc:AlternateContent>
    <mc:AlternateContent xmlns:mc="http://schemas.openxmlformats.org/markup-compatibility/2006">
      <mc:Choice Requires="x14">
        <oleObject progId="Equation.3" shapeId="2057" r:id="rId12">
          <objectPr defaultSize="0" autoPict="0" r:id="rId13">
            <anchor moveWithCells="1" sizeWithCells="1">
              <from>
                <xdr:col>10</xdr:col>
                <xdr:colOff>28575</xdr:colOff>
                <xdr:row>28</xdr:row>
                <xdr:rowOff>9525</xdr:rowOff>
              </from>
              <to>
                <xdr:col>11</xdr:col>
                <xdr:colOff>180975</xdr:colOff>
                <xdr:row>29</xdr:row>
                <xdr:rowOff>9525</xdr:rowOff>
              </to>
            </anchor>
          </objectPr>
        </oleObject>
      </mc:Choice>
      <mc:Fallback>
        <oleObject progId="Equation.3" shapeId="2057" r:id="rId12"/>
      </mc:Fallback>
    </mc:AlternateContent>
    <mc:AlternateContent xmlns:mc="http://schemas.openxmlformats.org/markup-compatibility/2006">
      <mc:Choice Requires="x14">
        <oleObject progId="Word.Document.12" shapeId="2074" r:id="rId14">
          <objectPr defaultSize="0" autoPict="0" r:id="rId15">
            <anchor moveWithCells="1">
              <from>
                <xdr:col>2</xdr:col>
                <xdr:colOff>295275</xdr:colOff>
                <xdr:row>33</xdr:row>
                <xdr:rowOff>104775</xdr:rowOff>
              </from>
              <to>
                <xdr:col>14</xdr:col>
                <xdr:colOff>180975</xdr:colOff>
                <xdr:row>49</xdr:row>
                <xdr:rowOff>123825</xdr:rowOff>
              </to>
            </anchor>
          </objectPr>
        </oleObject>
      </mc:Choice>
      <mc:Fallback>
        <oleObject progId="Word.Document.12" shapeId="2074" r:id="rId14"/>
      </mc:Fallback>
    </mc:AlternateContent>
    <mc:AlternateContent xmlns:mc="http://schemas.openxmlformats.org/markup-compatibility/2006">
      <mc:Choice Requires="x14">
        <oleObject progId="Equation.3" shapeId="2075" r:id="rId16">
          <objectPr defaultSize="0" autoPict="0" r:id="rId17">
            <anchor moveWithCells="1" sizeWithCells="1">
              <from>
                <xdr:col>0</xdr:col>
                <xdr:colOff>28575</xdr:colOff>
                <xdr:row>50</xdr:row>
                <xdr:rowOff>38100</xdr:rowOff>
              </from>
              <to>
                <xdr:col>6</xdr:col>
                <xdr:colOff>28575</xdr:colOff>
                <xdr:row>56</xdr:row>
                <xdr:rowOff>47625</xdr:rowOff>
              </to>
            </anchor>
          </objectPr>
        </oleObject>
      </mc:Choice>
      <mc:Fallback>
        <oleObject progId="Equation.3" shapeId="2075" r:id="rId16"/>
      </mc:Fallback>
    </mc:AlternateContent>
    <mc:AlternateContent xmlns:mc="http://schemas.openxmlformats.org/markup-compatibility/2006">
      <mc:Choice Requires="x14">
        <oleObject progId="Equation.3" shapeId="2076" r:id="rId18">
          <objectPr defaultSize="0" autoPict="0" r:id="rId19">
            <anchor moveWithCells="1" sizeWithCells="1">
              <from>
                <xdr:col>0</xdr:col>
                <xdr:colOff>0</xdr:colOff>
                <xdr:row>56</xdr:row>
                <xdr:rowOff>85725</xdr:rowOff>
              </from>
              <to>
                <xdr:col>3</xdr:col>
                <xdr:colOff>333375</xdr:colOff>
                <xdr:row>63</xdr:row>
                <xdr:rowOff>0</xdr:rowOff>
              </to>
            </anchor>
          </objectPr>
        </oleObject>
      </mc:Choice>
      <mc:Fallback>
        <oleObject progId="Equation.3" shapeId="2076" r:id="rId18"/>
      </mc:Fallback>
    </mc:AlternateContent>
    <mc:AlternateContent xmlns:mc="http://schemas.openxmlformats.org/markup-compatibility/2006">
      <mc:Choice Requires="x14">
        <oleObject progId="Equation.3" shapeId="2077" r:id="rId20">
          <objectPr defaultSize="0" autoPict="0" r:id="rId21">
            <anchor moveWithCells="1" sizeWithCells="1">
              <from>
                <xdr:col>0</xdr:col>
                <xdr:colOff>28575</xdr:colOff>
                <xdr:row>64</xdr:row>
                <xdr:rowOff>28575</xdr:rowOff>
              </from>
              <to>
                <xdr:col>1</xdr:col>
                <xdr:colOff>314325</xdr:colOff>
                <xdr:row>66</xdr:row>
                <xdr:rowOff>85725</xdr:rowOff>
              </to>
            </anchor>
          </objectPr>
        </oleObject>
      </mc:Choice>
      <mc:Fallback>
        <oleObject progId="Equation.3" shapeId="2077" r:id="rId20"/>
      </mc:Fallback>
    </mc:AlternateContent>
    <mc:AlternateContent xmlns:mc="http://schemas.openxmlformats.org/markup-compatibility/2006">
      <mc:Choice Requires="x14">
        <oleObject progId="Equation.3" shapeId="2079" r:id="rId22">
          <objectPr defaultSize="0" autoPict="0" r:id="rId23">
            <anchor moveWithCells="1" sizeWithCells="1">
              <from>
                <xdr:col>0</xdr:col>
                <xdr:colOff>0</xdr:colOff>
                <xdr:row>69</xdr:row>
                <xdr:rowOff>0</xdr:rowOff>
              </from>
              <to>
                <xdr:col>1</xdr:col>
                <xdr:colOff>333375</xdr:colOff>
                <xdr:row>71</xdr:row>
                <xdr:rowOff>47625</xdr:rowOff>
              </to>
            </anchor>
          </objectPr>
        </oleObject>
      </mc:Choice>
      <mc:Fallback>
        <oleObject progId="Equation.3" shapeId="2079" r:id="rId22"/>
      </mc:Fallback>
    </mc:AlternateContent>
    <mc:AlternateContent xmlns:mc="http://schemas.openxmlformats.org/markup-compatibility/2006">
      <mc:Choice Requires="x14">
        <oleObject progId="Equation.3" shapeId="2080" r:id="rId24">
          <objectPr defaultSize="0" autoPict="0" r:id="rId25">
            <anchor moveWithCells="1" sizeWithCells="1">
              <from>
                <xdr:col>0</xdr:col>
                <xdr:colOff>9525</xdr:colOff>
                <xdr:row>80</xdr:row>
                <xdr:rowOff>28575</xdr:rowOff>
              </from>
              <to>
                <xdr:col>1</xdr:col>
                <xdr:colOff>371475</xdr:colOff>
                <xdr:row>82</xdr:row>
                <xdr:rowOff>85725</xdr:rowOff>
              </to>
            </anchor>
          </objectPr>
        </oleObject>
      </mc:Choice>
      <mc:Fallback>
        <oleObject progId="Equation.3" shapeId="2080" r:id="rId24"/>
      </mc:Fallback>
    </mc:AlternateContent>
    <mc:AlternateContent xmlns:mc="http://schemas.openxmlformats.org/markup-compatibility/2006">
      <mc:Choice Requires="x14">
        <oleObject progId="Equation.3" shapeId="2081" r:id="rId26">
          <objectPr defaultSize="0" autoPict="0" r:id="rId27">
            <anchor moveWithCells="1" sizeWithCells="1">
              <from>
                <xdr:col>0</xdr:col>
                <xdr:colOff>0</xdr:colOff>
                <xdr:row>73</xdr:row>
                <xdr:rowOff>28575</xdr:rowOff>
              </from>
              <to>
                <xdr:col>3</xdr:col>
                <xdr:colOff>390525</xdr:colOff>
                <xdr:row>79</xdr:row>
                <xdr:rowOff>57150</xdr:rowOff>
              </to>
            </anchor>
          </objectPr>
        </oleObject>
      </mc:Choice>
      <mc:Fallback>
        <oleObject progId="Equation.3" shapeId="2081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45" zoomScaleNormal="145" workbookViewId="0">
      <selection activeCell="G38" sqref="G38"/>
    </sheetView>
  </sheetViews>
  <sheetFormatPr defaultColWidth="9" defaultRowHeight="16.5"/>
  <cols>
    <col min="1" max="1" width="22.625" style="25" customWidth="1"/>
    <col min="2" max="2" width="13.125" style="25" customWidth="1"/>
    <col min="3" max="16384" width="9" style="25"/>
  </cols>
  <sheetData>
    <row r="1" spans="1:9" ht="21" thickBot="1">
      <c r="A1" s="24" t="s">
        <v>408</v>
      </c>
      <c r="B1" s="24"/>
      <c r="C1" s="24"/>
      <c r="D1" s="24"/>
      <c r="E1" s="24"/>
      <c r="F1" s="24"/>
    </row>
    <row r="2" spans="1:9" ht="18.75" customHeight="1" thickBot="1">
      <c r="A2" s="216" t="s">
        <v>404</v>
      </c>
      <c r="B2" s="219" t="s">
        <v>490</v>
      </c>
      <c r="C2" s="220"/>
      <c r="D2" s="220"/>
      <c r="E2" s="220"/>
      <c r="F2" s="221"/>
    </row>
    <row r="3" spans="1:9" ht="20.25">
      <c r="A3" s="217"/>
      <c r="B3" s="26" t="s">
        <v>487</v>
      </c>
      <c r="C3" s="26" t="s">
        <v>488</v>
      </c>
      <c r="D3" s="26" t="s">
        <v>488</v>
      </c>
      <c r="E3" s="26" t="s">
        <v>488</v>
      </c>
      <c r="F3" s="26" t="s">
        <v>489</v>
      </c>
    </row>
    <row r="4" spans="1:9" ht="19.5" thickBot="1">
      <c r="A4" s="218"/>
      <c r="B4" s="27">
        <v>0.5</v>
      </c>
      <c r="C4" s="4">
        <v>0.6</v>
      </c>
      <c r="D4" s="4">
        <v>0.7</v>
      </c>
      <c r="E4" s="4">
        <v>0.8</v>
      </c>
      <c r="F4" s="4">
        <v>0.9</v>
      </c>
      <c r="H4" s="45" t="s">
        <v>501</v>
      </c>
      <c r="I4" s="45" t="s">
        <v>502</v>
      </c>
    </row>
    <row r="5" spans="1:9" ht="17.25" thickBot="1">
      <c r="A5" s="28" t="s">
        <v>405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H5" s="25">
        <f>IF(Sheet4!$B$29&lt;=0.5,B5,IF(AND(Sheet4!$B$29&gt;B4,Sheet4!$B$29&lt;=C4),(Sheet4!$B$29-B4)*(C5-B5)/(C4-B4)+B5,IF(AND(Sheet4!$B$29&gt;C4,Sheet4!$B$29&lt;=D4),(Sheet4!$B$29-C4)*(D5-C5)/(D4-C4)+C5,IF(AND(Sheet4!$B$29&gt;D4,Sheet4!$B$29&lt;=E4),(Sheet4!$B$29-D4)*(E5-D5)/(E4-D4)+D5,IF(AND(Sheet4!$B$29&gt;E4,Sheet4!$B$29&lt;=F4),(Sheet4!$B$29-E4)*(F5-E5)/(F4-E4)+E5,F5)))))</f>
        <v>1</v>
      </c>
      <c r="I5" s="25">
        <f>IF(Sheet4!$B$30&lt;=0.5,B5,IF(AND(Sheet4!$B$30&gt;B4,Sheet4!$B$30&lt;=C4),(Sheet4!$B$30-B4)*(C5-B5)/(C4-B4)+B5,IF(AND(Sheet4!$B$30&gt;C4,Sheet4!$B$30&lt;=D4),(Sheet4!$B$30-C4)*(D5-C5)/(D4-C4)+C5,IF(AND(Sheet4!$B$30&gt;D4,Sheet4!$B$30&lt;=E4),(Sheet4!$B$30-D4)*(E5-D5)/(E4-D4)+D5,IF(AND(Sheet4!$B$30&gt;E4,Sheet4!$B$30&lt;=F4),(Sheet4!$B$30-E4)*(F5-E5)/(F4-E4)+E5,F5)))))</f>
        <v>1</v>
      </c>
    </row>
    <row r="6" spans="1:9" ht="17.25" thickBot="1">
      <c r="A6" s="28" t="s">
        <v>406</v>
      </c>
      <c r="B6" s="27">
        <v>1.1000000000000001</v>
      </c>
      <c r="C6" s="27">
        <v>1.1000000000000001</v>
      </c>
      <c r="D6" s="27">
        <v>1</v>
      </c>
      <c r="E6" s="27">
        <v>1</v>
      </c>
      <c r="F6" s="27">
        <v>1</v>
      </c>
      <c r="H6" s="25">
        <f>IF(Sheet4!$B$29&lt;=0.5,B6,IF(AND(Sheet4!$B$29&gt;B4,Sheet4!$B$29&lt;=C4),(Sheet4!$B$29-B4)*(C6-B6)/(C4-B4)+B6,IF(AND(Sheet4!$B$29&gt;C4,Sheet4!$B$29&lt;=D4),(Sheet4!$B$29-C4)*(D6-C6)/(D4-C4)+C6,IF(AND(Sheet4!$B$29&gt;D4,Sheet4!$B$29&lt;=E4),(Sheet4!$B$29-D4)*(E6-D6)/(E4-D5)+D6,IF(AND(Sheet4!$B$29&gt;E4,Sheet4!$B$29&lt;=F4),(Sheet4!$B$29-E4)*(F6-E6)/(F4-E4)+E6,F6)))))</f>
        <v>1</v>
      </c>
      <c r="I6" s="25">
        <f>IF(Sheet4!$B$30&lt;=0.5,B6,IF(AND(Sheet4!$B$30&gt;B4,Sheet4!$B$30&lt;=C4),(Sheet4!$B$30-B4)*(C6-B6)/(C4-B4)+B6,IF(AND(Sheet4!$B$30&gt;C4,Sheet4!$B$30&lt;=D4),(Sheet4!$B$30-C4)*(D6-C6)/(D4-C4)+C6,IF(AND(Sheet4!$B$30&gt;D4,Sheet4!$B$30&lt;=E4),(Sheet4!$B$30-D4)*(E6-D6)/(E4-D4)+D6,IF(AND(Sheet4!$B$30&gt;E4,Sheet4!$B$30&lt;=F4),(Sheet4!$B$30-E4)*(F6-E6)/(F4-E4)+E6,F6)))))</f>
        <v>1</v>
      </c>
    </row>
    <row r="7" spans="1:9" ht="17.25" thickBot="1">
      <c r="A7" s="28" t="s">
        <v>407</v>
      </c>
      <c r="B7" s="27">
        <v>1.2</v>
      </c>
      <c r="C7" s="27">
        <v>1.2</v>
      </c>
      <c r="D7" s="27">
        <v>1.1000000000000001</v>
      </c>
      <c r="E7" s="27">
        <v>1</v>
      </c>
      <c r="F7" s="27">
        <v>1</v>
      </c>
      <c r="H7" s="25">
        <f>IF(Sheet4!$B$29&lt;=0.5,B7,IF(AND(Sheet4!$B$29&gt;B4,Sheet4!$B$29&lt;=C4),(Sheet4!$B$29-B4)*(C7-B7)/(C4-B4)+B7,IF(AND(Sheet4!$B$29&gt;C4,Sheet4!$B$29&lt;=D4),(Sheet4!$B$29-C4)*(D7-C7)/(D4-C4)+C7,IF(AND(Sheet4!$B$29&gt;D4,Sheet4!$B$29&lt;=E4),(Sheet4!$B$29-D4)*(E7-D7)/(E4-D4)+D7,IF(AND(Sheet4!$B$29&gt;E4,Sheet4!$B$29&lt;=F4),(Sheet4!$B$29-E4)*(F7-E7)/(F4-E4)+E7,F7)))))</f>
        <v>1</v>
      </c>
      <c r="I7" s="25">
        <f>IF(Sheet4!$B$30&lt;=0.5,B7,IF(AND(Sheet4!$B$30&gt;B4,Sheet4!$B$30&lt;=C4),(Sheet4!$B$30-B4)*(C7-B7)/(C4-B4)+B7,IF(AND(Sheet4!$B$30&gt;C4,Sheet4!$B$30&lt;=D4),(Sheet4!$B$30-C4)*(D7-C7)/(D4-C4)+C7,IF(AND(Sheet4!$B$30&gt;D4,Sheet4!$B$30&lt;=E4),(Sheet4!$B$30-D4)*(E7-D7)/(E4-D4)+D7,IF(AND(Sheet4!$B$30&gt;E4,Sheet4!$B$30&lt;=F4),(Sheet4!$B$30-E4)*(F7-E7)/(F4-E4)+E7,F7)))))</f>
        <v>1</v>
      </c>
    </row>
    <row r="8" spans="1:9">
      <c r="A8" s="24"/>
      <c r="B8" s="24"/>
      <c r="C8" s="24"/>
      <c r="D8" s="24"/>
      <c r="E8" s="24"/>
      <c r="F8" s="24"/>
    </row>
    <row r="9" spans="1:9" ht="21" thickBot="1">
      <c r="A9" s="24" t="s">
        <v>409</v>
      </c>
      <c r="B9" s="24"/>
      <c r="C9" s="24"/>
      <c r="D9" s="24"/>
      <c r="E9" s="24"/>
      <c r="F9" s="24"/>
    </row>
    <row r="10" spans="1:9" ht="18.75" customHeight="1" thickBot="1">
      <c r="A10" s="216" t="s">
        <v>404</v>
      </c>
      <c r="B10" s="219" t="s">
        <v>494</v>
      </c>
      <c r="C10" s="220"/>
      <c r="D10" s="220"/>
      <c r="E10" s="220"/>
      <c r="F10" s="221"/>
    </row>
    <row r="11" spans="1:9" ht="20.25">
      <c r="A11" s="217"/>
      <c r="B11" s="26" t="s">
        <v>491</v>
      </c>
      <c r="C11" s="26" t="s">
        <v>492</v>
      </c>
      <c r="D11" s="26" t="s">
        <v>492</v>
      </c>
      <c r="E11" s="26" t="s">
        <v>492</v>
      </c>
      <c r="F11" s="26" t="s">
        <v>493</v>
      </c>
    </row>
    <row r="12" spans="1:9" ht="19.5" thickBot="1">
      <c r="A12" s="218"/>
      <c r="B12" s="27">
        <v>0.3</v>
      </c>
      <c r="C12" s="4">
        <v>0.35</v>
      </c>
      <c r="D12" s="4">
        <v>0.4</v>
      </c>
      <c r="E12" s="4">
        <v>0.45</v>
      </c>
      <c r="F12" s="4">
        <v>0.5</v>
      </c>
      <c r="H12" s="45" t="s">
        <v>504</v>
      </c>
      <c r="I12" s="45" t="s">
        <v>503</v>
      </c>
    </row>
    <row r="13" spans="1:9" ht="17.25" thickBot="1">
      <c r="A13" s="28" t="s">
        <v>405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H13" s="25">
        <f>IF(Sheet4!$B$31&lt;=0.5,B13,IF(AND(Sheet4!$B$31&gt;B12,Sheet4!$B$31&lt;=C12),(Sheet4!$B$31-B12)*(C13-B13)/(C12-B12)+B13,IF(AND(Sheet4!$B$31&gt;C12,Sheet4!$B$31&lt;=D12),(Sheet4!$B$31-C12)*(D13-C13)/(D12-C12)+C13,IF(AND(Sheet4!$B$31&gt;D12,Sheet4!$B$31&lt;=E12),(Sheet4!$B$31-D12)*(E13-D13)/(E12-D12)+D13,IF(AND(Sheet4!$B$31&gt;E12,Sheet4!$B$31&lt;=F12),(Sheet4!$B$31-E12)*(F13-E13)/(F12-E12)+E13,F13)))))</f>
        <v>1</v>
      </c>
      <c r="I13" s="25">
        <f>IF(Sheet4!$B$32&lt;=0.5,B13,IF(AND(Sheet4!$B$32&gt;B12,Sheet4!$B$32&lt;=C12),(Sheet4!$B$32-B12)*(C13-B13)/(C12-B12)+B13,IF(AND(Sheet4!$B$32&gt;C12,Sheet4!$B$32&lt;=D12),(Sheet4!$B$32-C12)*(D13-C13)/(D12-C12)+C13,IF(AND(Sheet4!$B$32&gt;D12,Sheet4!$B$32&lt;=E12),(Sheet4!$B$32-D12)*(E13-D13)/(E12-D12)+D13,IF(AND(Sheet4!$B$32&gt;E12,Sheet4!$B$32&lt;=F12),(Sheet4!$B$32-E12)*(F13-E13)/(F12-E12)+E13,F13)))))</f>
        <v>1</v>
      </c>
    </row>
    <row r="14" spans="1:9" ht="17.25" thickBot="1">
      <c r="A14" s="28" t="s">
        <v>406</v>
      </c>
      <c r="B14" s="27">
        <v>1.5</v>
      </c>
      <c r="C14" s="27">
        <v>1.4</v>
      </c>
      <c r="D14" s="27">
        <v>1.3</v>
      </c>
      <c r="E14" s="27">
        <v>1.2</v>
      </c>
      <c r="F14" s="27">
        <v>1.1000000000000001</v>
      </c>
      <c r="H14" s="25">
        <f>IF(Sheet4!$B$31&lt;=0.5,B14,IF(AND(Sheet4!$B$31&gt;B12,Sheet4!$B$31&lt;=C12),(Sheet4!$B$31-B12)*(C14-B14)/(C12-B12)+B14,IF(AND(Sheet4!$B$31&gt;C12,Sheet4!$B$31&lt;=D12),(Sheet4!$B$31-C12)*(D14-C14)/(D12-C12)+C14,IF(AND(Sheet4!$B$31&gt;D12,Sheet4!$B$31&lt;=E12),(Sheet4!$B$31-D12)*(E14-D14)/(E12-D13)+D14,IF(AND(Sheet4!$B$31&gt;E12,Sheet4!$B$31&lt;=F12),(Sheet4!$B$31-E12)*(F14-E14)/(F12-E12)+E14,F14)))))</f>
        <v>1.5</v>
      </c>
      <c r="I14" s="25">
        <f>IF(Sheet4!$B$32&lt;=0.5,B14,IF(AND(Sheet4!$B$32&gt;B12,Sheet4!$B$32&lt;=C12),(Sheet4!$B$32-B12)*(C14-B14)/(C12-B12)+B14,IF(AND(Sheet4!$B$32&gt;C12,Sheet4!$B$32&lt;=D12),(Sheet4!$B$32-C12)*(D14-C14)/(D12-C12)+C14,IF(AND(Sheet4!$B$32&gt;D12,Sheet4!$B$32&lt;=E12),(Sheet4!$B$32-D12)*(E14-D14)/(E12-D12)+D14,IF(AND(Sheet4!$B$32&gt;E12,Sheet4!$B$32&lt;=F12),(Sheet4!$B$32-E12)*(F14-E14)/(F12-E12)+E14,F14)))))</f>
        <v>1.1000000000000001</v>
      </c>
    </row>
    <row r="15" spans="1:9" ht="17.25" thickBot="1">
      <c r="A15" s="28" t="s">
        <v>407</v>
      </c>
      <c r="B15" s="27">
        <v>1.8</v>
      </c>
      <c r="C15" s="27">
        <v>1.7</v>
      </c>
      <c r="D15" s="27">
        <v>1.6</v>
      </c>
      <c r="E15" s="27">
        <v>1.5</v>
      </c>
      <c r="F15" s="27">
        <v>1.4</v>
      </c>
      <c r="H15" s="25">
        <f>IF(Sheet4!$B$31&lt;=0.5,B15,IF(AND(Sheet4!$B$31&gt;B12,Sheet4!$B$31&lt;=C12),(Sheet4!$B$31-B12)*(C15-B15)/(C12-B12)+B15,IF(AND(Sheet4!$B$31&gt;C12,Sheet4!$B$31&lt;=D12),(Sheet4!$B$31-C12)*(D15-C15)/(D12-C12)+C15,IF(AND(Sheet4!$B$31&gt;D12,Sheet4!$B$31&lt;=E12),(Sheet4!$B$31-D12)*(E15-D15)/(E12-D12)+D15,IF(AND(Sheet4!$B$31&gt;E12,Sheet4!$B$31&lt;=F12),(Sheet4!$B$31-E12)*(F15-E15)/(F12-E12)+E15,F15)))))</f>
        <v>1.8</v>
      </c>
      <c r="I15" s="25">
        <f>IF(Sheet4!$B$32&lt;=0.5,B15,IF(AND(Sheet4!$B$32&gt;B12,Sheet4!$B$32&lt;=C12),(Sheet4!$B$32-B12)*(C15-B15)/(C12-B12)+B15,IF(AND(Sheet4!$B$32&gt;C12,Sheet4!$B$32&lt;=D12),(Sheet4!$B$32-C12)*(D15-C15)/(D12-C12)+C15,IF(AND(Sheet4!$B$32&gt;D12,Sheet4!$B$32&lt;=E12),(Sheet4!$B$32-D12)*(E15-D15)/(E12-D12)+D15,IF(AND(Sheet4!$B$32&gt;E12,Sheet4!$B$32&lt;=F12),(Sheet4!$B$32-E12)*(F15-E15)/(F12-E12)+E15,F15)))))</f>
        <v>1.4</v>
      </c>
    </row>
  </sheetData>
  <mergeCells count="4">
    <mergeCell ref="A10:A12"/>
    <mergeCell ref="B10:F10"/>
    <mergeCell ref="A2:A4"/>
    <mergeCell ref="B2:F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zoomScale="55" zoomScaleNormal="55" workbookViewId="0">
      <pane ySplit="1" topLeftCell="A2" activePane="bottomLeft" state="frozen"/>
      <selection pane="bottomLeft" activeCell="E361" sqref="E361"/>
    </sheetView>
  </sheetViews>
  <sheetFormatPr defaultColWidth="9" defaultRowHeight="15.75" outlineLevelRow="1"/>
  <cols>
    <col min="1" max="1" width="16.25" style="41" customWidth="1"/>
    <col min="2" max="2" width="22.25" style="6" customWidth="1"/>
    <col min="3" max="6" width="9" style="6"/>
    <col min="7" max="7" width="22.875" style="6" customWidth="1"/>
    <col min="8" max="16384" width="9" style="6"/>
  </cols>
  <sheetData>
    <row r="1" spans="1:7" s="39" customFormat="1" ht="18.75" customHeight="1">
      <c r="A1" s="36" t="s">
        <v>345</v>
      </c>
      <c r="B1" s="36" t="s">
        <v>346</v>
      </c>
      <c r="C1" s="37" t="s">
        <v>347</v>
      </c>
      <c r="D1" s="37" t="s">
        <v>348</v>
      </c>
      <c r="E1" s="37" t="s">
        <v>349</v>
      </c>
      <c r="F1" s="37" t="s">
        <v>350</v>
      </c>
      <c r="G1" s="38" t="s">
        <v>351</v>
      </c>
    </row>
    <row r="2" spans="1:7" s="40" customFormat="1" ht="18.75" customHeight="1">
      <c r="A2" s="9" t="s">
        <v>440</v>
      </c>
      <c r="B2" s="9"/>
      <c r="C2" s="10"/>
      <c r="D2" s="10"/>
      <c r="E2" s="10"/>
      <c r="F2" s="10"/>
      <c r="G2" s="11"/>
    </row>
    <row r="3" spans="1:7" hidden="1" outlineLevel="1">
      <c r="A3" s="222" t="s">
        <v>441</v>
      </c>
      <c r="B3" s="7" t="s">
        <v>0</v>
      </c>
      <c r="C3" s="7">
        <v>0.6</v>
      </c>
      <c r="D3" s="7">
        <v>0.3</v>
      </c>
      <c r="E3" s="7">
        <v>0.8</v>
      </c>
      <c r="F3" s="7">
        <v>0.45</v>
      </c>
      <c r="G3" s="8"/>
    </row>
    <row r="4" spans="1:7" hidden="1" outlineLevel="1">
      <c r="A4" s="222"/>
      <c r="B4" s="7" t="s">
        <v>1</v>
      </c>
      <c r="C4" s="7">
        <v>0.7</v>
      </c>
      <c r="D4" s="7">
        <v>0.35</v>
      </c>
      <c r="E4" s="7">
        <v>0.8</v>
      </c>
      <c r="F4" s="7">
        <v>0.5</v>
      </c>
      <c r="G4" s="8"/>
    </row>
    <row r="5" spans="1:7" hidden="1" outlineLevel="1">
      <c r="A5" s="222"/>
      <c r="B5" s="7" t="s">
        <v>2</v>
      </c>
      <c r="C5" s="7">
        <v>0.5</v>
      </c>
      <c r="D5" s="7">
        <v>0.3</v>
      </c>
      <c r="E5" s="7">
        <v>0.7</v>
      </c>
      <c r="F5" s="7">
        <v>0.4</v>
      </c>
      <c r="G5" s="8"/>
    </row>
    <row r="6" spans="1:7" hidden="1" outlineLevel="1">
      <c r="A6" s="222"/>
      <c r="B6" s="7" t="s">
        <v>3</v>
      </c>
      <c r="C6" s="7">
        <v>0.6</v>
      </c>
      <c r="D6" s="7">
        <v>0.3</v>
      </c>
      <c r="E6" s="7">
        <v>0.8</v>
      </c>
      <c r="F6" s="7">
        <v>0.45</v>
      </c>
      <c r="G6" s="8"/>
    </row>
    <row r="7" spans="1:7" hidden="1" outlineLevel="1">
      <c r="A7" s="222"/>
      <c r="B7" s="7" t="s">
        <v>4</v>
      </c>
      <c r="C7" s="7">
        <v>0.6</v>
      </c>
      <c r="D7" s="7">
        <v>0.35</v>
      </c>
      <c r="E7" s="7">
        <v>0.9</v>
      </c>
      <c r="F7" s="7">
        <v>0.55000000000000004</v>
      </c>
      <c r="G7" s="8"/>
    </row>
    <row r="8" spans="1:7" hidden="1" outlineLevel="1">
      <c r="A8" s="222"/>
      <c r="B8" s="7" t="s">
        <v>5</v>
      </c>
      <c r="C8" s="7">
        <v>0.5</v>
      </c>
      <c r="D8" s="7">
        <v>0.3</v>
      </c>
      <c r="E8" s="7">
        <v>0.7</v>
      </c>
      <c r="F8" s="7">
        <v>0.4</v>
      </c>
      <c r="G8" s="8"/>
    </row>
    <row r="9" spans="1:7" hidden="1" outlineLevel="1">
      <c r="A9" s="222"/>
      <c r="B9" s="7" t="s">
        <v>6</v>
      </c>
      <c r="C9" s="7">
        <v>0.6</v>
      </c>
      <c r="D9" s="7">
        <v>0.35</v>
      </c>
      <c r="E9" s="7">
        <v>0.8</v>
      </c>
      <c r="F9" s="7">
        <v>0.45</v>
      </c>
      <c r="G9" s="8"/>
    </row>
    <row r="10" spans="1:7" hidden="1" outlineLevel="1">
      <c r="A10" s="222"/>
      <c r="B10" s="7" t="s">
        <v>7</v>
      </c>
      <c r="C10" s="7">
        <v>0.7</v>
      </c>
      <c r="D10" s="7">
        <v>0.35</v>
      </c>
      <c r="E10" s="7">
        <v>0.9</v>
      </c>
      <c r="F10" s="7">
        <v>0.5</v>
      </c>
      <c r="G10" s="8"/>
    </row>
    <row r="11" spans="1:7" hidden="1" outlineLevel="1">
      <c r="A11" s="222"/>
      <c r="B11" s="7" t="s">
        <v>8</v>
      </c>
      <c r="C11" s="7">
        <v>0.7</v>
      </c>
      <c r="D11" s="7">
        <v>0.4</v>
      </c>
      <c r="E11" s="7">
        <v>0.9</v>
      </c>
      <c r="F11" s="7">
        <v>0.55000000000000004</v>
      </c>
      <c r="G11" s="8"/>
    </row>
    <row r="12" spans="1:7" hidden="1" outlineLevel="1">
      <c r="A12" s="222"/>
      <c r="B12" s="7" t="s">
        <v>9</v>
      </c>
      <c r="C12" s="7">
        <v>0.5</v>
      </c>
      <c r="D12" s="7">
        <v>0.3</v>
      </c>
      <c r="E12" s="7">
        <v>0.7</v>
      </c>
      <c r="F12" s="7">
        <v>0.4</v>
      </c>
      <c r="G12" s="8"/>
    </row>
    <row r="13" spans="1:7" hidden="1" outlineLevel="1">
      <c r="A13" s="222"/>
      <c r="B13" s="7" t="s">
        <v>10</v>
      </c>
      <c r="C13" s="7">
        <v>0.5</v>
      </c>
      <c r="D13" s="7">
        <v>0.3</v>
      </c>
      <c r="E13" s="7">
        <v>0.7</v>
      </c>
      <c r="F13" s="7">
        <v>0.4</v>
      </c>
      <c r="G13" s="8"/>
    </row>
    <row r="14" spans="1:7" hidden="1" outlineLevel="1">
      <c r="A14" s="222"/>
      <c r="B14" s="7" t="s">
        <v>11</v>
      </c>
      <c r="C14" s="7">
        <v>0.5</v>
      </c>
      <c r="D14" s="7">
        <v>0.3</v>
      </c>
      <c r="E14" s="7">
        <v>0.7</v>
      </c>
      <c r="F14" s="7">
        <v>0.4</v>
      </c>
      <c r="G14" s="8"/>
    </row>
    <row r="15" spans="1:7" hidden="1" outlineLevel="1">
      <c r="A15" s="222"/>
      <c r="B15" s="7" t="s">
        <v>12</v>
      </c>
      <c r="C15" s="7">
        <v>0.6</v>
      </c>
      <c r="D15" s="7">
        <v>0.35</v>
      </c>
      <c r="E15" s="7">
        <v>0.9</v>
      </c>
      <c r="F15" s="7">
        <v>0.5</v>
      </c>
      <c r="G15" s="8"/>
    </row>
    <row r="16" spans="1:7" hidden="1" outlineLevel="1">
      <c r="A16" s="222"/>
      <c r="B16" s="7" t="s">
        <v>13</v>
      </c>
      <c r="C16" s="7">
        <v>0.7</v>
      </c>
      <c r="D16" s="7">
        <v>0.4</v>
      </c>
      <c r="E16" s="7">
        <v>0.9</v>
      </c>
      <c r="F16" s="7">
        <v>0.55000000000000004</v>
      </c>
      <c r="G16" s="8"/>
    </row>
    <row r="17" spans="1:7" hidden="1" outlineLevel="1">
      <c r="A17" s="222"/>
      <c r="B17" s="7" t="s">
        <v>14</v>
      </c>
      <c r="C17" s="7">
        <v>0.7</v>
      </c>
      <c r="D17" s="7">
        <v>0.4</v>
      </c>
      <c r="E17" s="7">
        <v>0.9</v>
      </c>
      <c r="F17" s="7">
        <v>0.55000000000000004</v>
      </c>
      <c r="G17" s="8"/>
    </row>
    <row r="18" spans="1:7" hidden="1" outlineLevel="1">
      <c r="A18" s="222"/>
      <c r="B18" s="7" t="s">
        <v>15</v>
      </c>
      <c r="C18" s="7">
        <v>0.5</v>
      </c>
      <c r="D18" s="7">
        <v>0.3</v>
      </c>
      <c r="E18" s="7">
        <v>0.7</v>
      </c>
      <c r="F18" s="7">
        <v>0.4</v>
      </c>
      <c r="G18" s="8"/>
    </row>
    <row r="19" spans="1:7" hidden="1" outlineLevel="1">
      <c r="A19" s="222"/>
      <c r="B19" s="7" t="s">
        <v>16</v>
      </c>
      <c r="C19" s="7">
        <v>0.5</v>
      </c>
      <c r="D19" s="7">
        <v>0.3</v>
      </c>
      <c r="E19" s="7">
        <v>0.8</v>
      </c>
      <c r="F19" s="7">
        <v>0.45</v>
      </c>
      <c r="G19" s="8"/>
    </row>
    <row r="20" spans="1:7" hidden="1" outlineLevel="1">
      <c r="A20" s="222"/>
      <c r="B20" s="7" t="s">
        <v>17</v>
      </c>
      <c r="C20" s="7">
        <v>0.7</v>
      </c>
      <c r="D20" s="7">
        <v>0.4</v>
      </c>
      <c r="E20" s="7">
        <v>0.9</v>
      </c>
      <c r="F20" s="7">
        <v>0.5</v>
      </c>
      <c r="G20" s="8"/>
    </row>
    <row r="21" spans="1:7" s="40" customFormat="1" ht="18.75" customHeight="1" collapsed="1">
      <c r="A21" s="9" t="s">
        <v>442</v>
      </c>
      <c r="B21" s="9"/>
      <c r="C21" s="10"/>
      <c r="D21" s="10"/>
      <c r="E21" s="10"/>
      <c r="F21" s="10"/>
      <c r="G21" s="11"/>
    </row>
    <row r="22" spans="1:7" hidden="1" outlineLevel="1">
      <c r="A22" s="222" t="s">
        <v>443</v>
      </c>
      <c r="B22" s="7" t="s">
        <v>18</v>
      </c>
      <c r="C22" s="7">
        <v>0.6</v>
      </c>
      <c r="D22" s="7">
        <v>0.35</v>
      </c>
      <c r="E22" s="7">
        <v>0.8</v>
      </c>
      <c r="F22" s="7">
        <v>0.5</v>
      </c>
      <c r="G22" s="8"/>
    </row>
    <row r="23" spans="1:7" hidden="1" outlineLevel="1">
      <c r="A23" s="222"/>
      <c r="B23" s="7" t="s">
        <v>19</v>
      </c>
      <c r="C23" s="7">
        <v>0.6</v>
      </c>
      <c r="D23" s="7">
        <v>0.3</v>
      </c>
      <c r="E23" s="7">
        <v>0.8</v>
      </c>
      <c r="F23" s="7">
        <v>0.45</v>
      </c>
      <c r="G23" s="8"/>
    </row>
    <row r="24" spans="1:7" hidden="1" outlineLevel="1">
      <c r="A24" s="222"/>
      <c r="B24" s="7" t="s">
        <v>20</v>
      </c>
      <c r="C24" s="7">
        <v>0.6</v>
      </c>
      <c r="D24" s="7">
        <v>0.35</v>
      </c>
      <c r="E24" s="7">
        <v>0.8</v>
      </c>
      <c r="F24" s="7">
        <v>0.5</v>
      </c>
      <c r="G24" s="8"/>
    </row>
    <row r="25" spans="1:7" hidden="1" outlineLevel="1">
      <c r="A25" s="222"/>
      <c r="B25" s="7" t="s">
        <v>21</v>
      </c>
      <c r="C25" s="7">
        <v>0.6</v>
      </c>
      <c r="D25" s="7">
        <v>0.35</v>
      </c>
      <c r="E25" s="7">
        <v>0.8</v>
      </c>
      <c r="F25" s="7">
        <v>0.5</v>
      </c>
      <c r="G25" s="8"/>
    </row>
    <row r="26" spans="1:7" hidden="1" outlineLevel="1">
      <c r="A26" s="222"/>
      <c r="B26" s="7" t="s">
        <v>22</v>
      </c>
      <c r="C26" s="7">
        <v>0.6</v>
      </c>
      <c r="D26" s="7">
        <v>0.35</v>
      </c>
      <c r="E26" s="7">
        <v>0.8</v>
      </c>
      <c r="F26" s="7">
        <v>0.5</v>
      </c>
      <c r="G26" s="8"/>
    </row>
    <row r="27" spans="1:7" hidden="1" outlineLevel="1">
      <c r="A27" s="222"/>
      <c r="B27" s="7" t="s">
        <v>23</v>
      </c>
      <c r="C27" s="7">
        <v>0.6</v>
      </c>
      <c r="D27" s="7">
        <v>0.3</v>
      </c>
      <c r="E27" s="7">
        <v>0.8</v>
      </c>
      <c r="F27" s="7">
        <v>0.5</v>
      </c>
      <c r="G27" s="8"/>
    </row>
    <row r="28" spans="1:7" hidden="1" outlineLevel="1">
      <c r="A28" s="222"/>
      <c r="B28" s="7" t="s">
        <v>24</v>
      </c>
      <c r="C28" s="7">
        <v>0.6</v>
      </c>
      <c r="D28" s="7">
        <v>0.35</v>
      </c>
      <c r="E28" s="7">
        <v>0.8</v>
      </c>
      <c r="F28" s="7">
        <v>0.5</v>
      </c>
      <c r="G28" s="8"/>
    </row>
    <row r="29" spans="1:7" s="40" customFormat="1" ht="18.75" customHeight="1" collapsed="1">
      <c r="A29" s="9" t="s">
        <v>444</v>
      </c>
      <c r="B29" s="9"/>
      <c r="C29" s="10"/>
      <c r="D29" s="10"/>
      <c r="E29" s="10"/>
      <c r="F29" s="10"/>
      <c r="G29" s="11"/>
    </row>
    <row r="30" spans="1:7" hidden="1" outlineLevel="1">
      <c r="A30" s="222" t="s">
        <v>445</v>
      </c>
      <c r="B30" s="7" t="s">
        <v>25</v>
      </c>
      <c r="C30" s="7">
        <v>0.8</v>
      </c>
      <c r="D30" s="7">
        <v>0.45</v>
      </c>
      <c r="E30" s="7">
        <v>0.9</v>
      </c>
      <c r="F30" s="7">
        <v>0.55000000000000004</v>
      </c>
      <c r="G30" s="8"/>
    </row>
    <row r="31" spans="1:7" hidden="1" outlineLevel="1">
      <c r="A31" s="222"/>
      <c r="B31" s="7" t="s">
        <v>26</v>
      </c>
      <c r="C31" s="7">
        <v>0.8</v>
      </c>
      <c r="D31" s="7">
        <v>0.45</v>
      </c>
      <c r="E31" s="7">
        <v>0.9</v>
      </c>
      <c r="F31" s="7">
        <v>0.55000000000000004</v>
      </c>
      <c r="G31" s="8"/>
    </row>
    <row r="32" spans="1:7" hidden="1" outlineLevel="1">
      <c r="A32" s="222"/>
      <c r="B32" s="7" t="s">
        <v>27</v>
      </c>
      <c r="C32" s="7">
        <v>0.8</v>
      </c>
      <c r="D32" s="7">
        <v>0.45</v>
      </c>
      <c r="E32" s="7">
        <v>1</v>
      </c>
      <c r="F32" s="7">
        <v>0.55000000000000004</v>
      </c>
      <c r="G32" s="8"/>
    </row>
    <row r="33" spans="1:7" hidden="1" outlineLevel="1">
      <c r="A33" s="222"/>
      <c r="B33" s="7" t="s">
        <v>28</v>
      </c>
      <c r="C33" s="7">
        <v>0.8</v>
      </c>
      <c r="D33" s="7">
        <v>0.45</v>
      </c>
      <c r="E33" s="7">
        <v>0.9</v>
      </c>
      <c r="F33" s="7">
        <v>0.55000000000000004</v>
      </c>
      <c r="G33" s="8"/>
    </row>
    <row r="34" spans="1:7" hidden="1" outlineLevel="1">
      <c r="A34" s="222"/>
      <c r="B34" s="7" t="s">
        <v>29</v>
      </c>
      <c r="C34" s="7">
        <v>0.8</v>
      </c>
      <c r="D34" s="7">
        <v>0.45</v>
      </c>
      <c r="E34" s="7">
        <v>0.9</v>
      </c>
      <c r="F34" s="7">
        <v>0.55000000000000004</v>
      </c>
      <c r="G34" s="8"/>
    </row>
    <row r="35" spans="1:7" hidden="1" outlineLevel="1">
      <c r="A35" s="222"/>
      <c r="B35" s="7" t="s">
        <v>30</v>
      </c>
      <c r="C35" s="7">
        <v>0.8</v>
      </c>
      <c r="D35" s="7">
        <v>0.45</v>
      </c>
      <c r="E35" s="7">
        <v>0.9</v>
      </c>
      <c r="F35" s="7">
        <v>0.55000000000000004</v>
      </c>
      <c r="G35" s="8"/>
    </row>
    <row r="36" spans="1:7" hidden="1" outlineLevel="1">
      <c r="A36" s="222"/>
      <c r="B36" s="7" t="s">
        <v>31</v>
      </c>
      <c r="C36" s="7">
        <v>0.8</v>
      </c>
      <c r="D36" s="7">
        <v>0.45</v>
      </c>
      <c r="E36" s="7">
        <v>0.9</v>
      </c>
      <c r="F36" s="7">
        <v>0.55000000000000004</v>
      </c>
      <c r="G36" s="8"/>
    </row>
    <row r="37" spans="1:7" hidden="1" outlineLevel="1">
      <c r="A37" s="222"/>
      <c r="B37" s="7" t="s">
        <v>32</v>
      </c>
      <c r="C37" s="7">
        <v>0.8</v>
      </c>
      <c r="D37" s="7">
        <v>0.45</v>
      </c>
      <c r="E37" s="7">
        <v>0.9</v>
      </c>
      <c r="F37" s="7">
        <v>0.55000000000000004</v>
      </c>
      <c r="G37" s="8"/>
    </row>
    <row r="38" spans="1:7" hidden="1" outlineLevel="1">
      <c r="A38" s="222"/>
      <c r="B38" s="7" t="s">
        <v>33</v>
      </c>
      <c r="C38" s="7">
        <v>0.8</v>
      </c>
      <c r="D38" s="7">
        <v>0.45</v>
      </c>
      <c r="E38" s="7">
        <v>0.9</v>
      </c>
      <c r="F38" s="7">
        <v>0.55000000000000004</v>
      </c>
      <c r="G38" s="8"/>
    </row>
    <row r="39" spans="1:7" hidden="1" outlineLevel="1">
      <c r="A39" s="222"/>
      <c r="B39" s="7" t="s">
        <v>34</v>
      </c>
      <c r="C39" s="7">
        <v>0.8</v>
      </c>
      <c r="D39" s="7">
        <v>0.45</v>
      </c>
      <c r="E39" s="7">
        <v>0.9</v>
      </c>
      <c r="F39" s="7">
        <v>0.55000000000000004</v>
      </c>
      <c r="G39" s="8"/>
    </row>
    <row r="40" spans="1:7" hidden="1" outlineLevel="1">
      <c r="A40" s="222"/>
      <c r="B40" s="7" t="s">
        <v>35</v>
      </c>
      <c r="C40" s="7">
        <v>0.8</v>
      </c>
      <c r="D40" s="7">
        <v>0.45</v>
      </c>
      <c r="E40" s="7">
        <v>0.9</v>
      </c>
      <c r="F40" s="7">
        <v>0.5</v>
      </c>
      <c r="G40" s="8"/>
    </row>
    <row r="41" spans="1:7" hidden="1" outlineLevel="1">
      <c r="A41" s="222"/>
      <c r="B41" s="7" t="s">
        <v>36</v>
      </c>
      <c r="C41" s="7">
        <v>0.8</v>
      </c>
      <c r="D41" s="7">
        <v>0.45</v>
      </c>
      <c r="E41" s="7">
        <v>1</v>
      </c>
      <c r="F41" s="7">
        <v>0.55000000000000004</v>
      </c>
      <c r="G41" s="8"/>
    </row>
    <row r="42" spans="1:7" s="40" customFormat="1" ht="18.75" customHeight="1" collapsed="1">
      <c r="A42" s="9" t="s">
        <v>446</v>
      </c>
      <c r="B42" s="9"/>
      <c r="C42" s="10"/>
      <c r="D42" s="10"/>
      <c r="E42" s="10"/>
      <c r="F42" s="10"/>
      <c r="G42" s="11"/>
    </row>
    <row r="43" spans="1:7" hidden="1" outlineLevel="1">
      <c r="A43" s="222" t="s">
        <v>447</v>
      </c>
      <c r="B43" s="7" t="s">
        <v>37</v>
      </c>
      <c r="C43" s="7">
        <v>0.5</v>
      </c>
      <c r="D43" s="7">
        <v>0.3</v>
      </c>
      <c r="E43" s="7">
        <v>0.8</v>
      </c>
      <c r="F43" s="7">
        <v>0.4</v>
      </c>
      <c r="G43" s="8"/>
    </row>
    <row r="44" spans="1:7" hidden="1" outlineLevel="1">
      <c r="A44" s="222"/>
      <c r="B44" s="7" t="s">
        <v>38</v>
      </c>
      <c r="C44" s="7">
        <v>0.6</v>
      </c>
      <c r="D44" s="7">
        <v>0.3</v>
      </c>
      <c r="E44" s="7">
        <v>0.8</v>
      </c>
      <c r="F44" s="7">
        <v>0.45</v>
      </c>
      <c r="G44" s="8"/>
    </row>
    <row r="45" spans="1:7" hidden="1" outlineLevel="1">
      <c r="A45" s="222"/>
      <c r="B45" s="7" t="s">
        <v>39</v>
      </c>
      <c r="C45" s="7">
        <v>0.7</v>
      </c>
      <c r="D45" s="7">
        <v>0.35</v>
      </c>
      <c r="E45" s="7">
        <v>0.8</v>
      </c>
      <c r="F45" s="7">
        <v>0.5</v>
      </c>
      <c r="G45" s="8"/>
    </row>
    <row r="46" spans="1:7" hidden="1" outlineLevel="1">
      <c r="A46" s="222"/>
      <c r="B46" s="7" t="s">
        <v>40</v>
      </c>
      <c r="C46" s="7">
        <v>0.6</v>
      </c>
      <c r="D46" s="7">
        <v>0.35</v>
      </c>
      <c r="E46" s="7">
        <v>0.8</v>
      </c>
      <c r="F46" s="7">
        <v>0.45</v>
      </c>
      <c r="G46" s="8"/>
    </row>
    <row r="47" spans="1:7" hidden="1" outlineLevel="1">
      <c r="A47" s="222"/>
      <c r="B47" s="7" t="s">
        <v>41</v>
      </c>
      <c r="C47" s="7">
        <v>0.5</v>
      </c>
      <c r="D47" s="7">
        <v>0.3</v>
      </c>
      <c r="E47" s="7">
        <v>0.7</v>
      </c>
      <c r="F47" s="7">
        <v>0.4</v>
      </c>
      <c r="G47" s="8"/>
    </row>
    <row r="48" spans="1:7" hidden="1" outlineLevel="1">
      <c r="A48" s="222"/>
      <c r="B48" s="7" t="s">
        <v>42</v>
      </c>
      <c r="C48" s="7">
        <v>0.5</v>
      </c>
      <c r="D48" s="7">
        <v>0.3</v>
      </c>
      <c r="E48" s="7">
        <v>0.7</v>
      </c>
      <c r="F48" s="7">
        <v>0.4</v>
      </c>
      <c r="G48" s="8"/>
    </row>
    <row r="49" spans="1:7" hidden="1" outlineLevel="1">
      <c r="A49" s="222"/>
      <c r="B49" s="7" t="s">
        <v>43</v>
      </c>
      <c r="C49" s="7">
        <v>0.5</v>
      </c>
      <c r="D49" s="7">
        <v>0.3</v>
      </c>
      <c r="E49" s="7">
        <v>0.7</v>
      </c>
      <c r="F49" s="7">
        <v>0.4</v>
      </c>
      <c r="G49" s="8"/>
    </row>
    <row r="50" spans="1:7" hidden="1" outlineLevel="1">
      <c r="A50" s="222"/>
      <c r="B50" s="7" t="s">
        <v>44</v>
      </c>
      <c r="C50" s="7">
        <v>0.6</v>
      </c>
      <c r="D50" s="7">
        <v>0.3</v>
      </c>
      <c r="E50" s="7">
        <v>0.8</v>
      </c>
      <c r="F50" s="7">
        <v>0.45</v>
      </c>
      <c r="G50" s="8"/>
    </row>
    <row r="51" spans="1:7" hidden="1" outlineLevel="1">
      <c r="A51" s="222"/>
      <c r="B51" s="7" t="s">
        <v>45</v>
      </c>
      <c r="C51" s="7">
        <v>0.7</v>
      </c>
      <c r="D51" s="7">
        <v>0.35</v>
      </c>
      <c r="E51" s="7">
        <v>0.8</v>
      </c>
      <c r="F51" s="7">
        <v>0.5</v>
      </c>
      <c r="G51" s="8"/>
    </row>
    <row r="52" spans="1:7" hidden="1" outlineLevel="1">
      <c r="A52" s="222"/>
      <c r="B52" s="7" t="s">
        <v>46</v>
      </c>
      <c r="C52" s="7">
        <v>0.6</v>
      </c>
      <c r="D52" s="7">
        <v>0.35</v>
      </c>
      <c r="E52" s="7">
        <v>0.8</v>
      </c>
      <c r="F52" s="7">
        <v>0.45</v>
      </c>
      <c r="G52" s="8"/>
    </row>
    <row r="53" spans="1:7" hidden="1" outlineLevel="1">
      <c r="A53" s="222"/>
      <c r="B53" s="7" t="s">
        <v>47</v>
      </c>
      <c r="C53" s="7">
        <v>0.6</v>
      </c>
      <c r="D53" s="7">
        <v>0.3</v>
      </c>
      <c r="E53" s="7">
        <v>0.8</v>
      </c>
      <c r="F53" s="7">
        <v>0.45</v>
      </c>
      <c r="G53" s="8"/>
    </row>
    <row r="54" spans="1:7" hidden="1" outlineLevel="1">
      <c r="A54" s="222"/>
      <c r="B54" s="7" t="s">
        <v>48</v>
      </c>
      <c r="C54" s="7">
        <v>0.5</v>
      </c>
      <c r="D54" s="7">
        <v>0.3</v>
      </c>
      <c r="E54" s="7">
        <v>0.7</v>
      </c>
      <c r="F54" s="7">
        <v>0.4</v>
      </c>
      <c r="G54" s="8"/>
    </row>
    <row r="55" spans="1:7" hidden="1" outlineLevel="1">
      <c r="A55" s="222"/>
      <c r="B55" s="7" t="s">
        <v>49</v>
      </c>
      <c r="C55" s="7">
        <v>0.7</v>
      </c>
      <c r="D55" s="7">
        <v>0.4</v>
      </c>
      <c r="E55" s="7">
        <v>0.9</v>
      </c>
      <c r="F55" s="7">
        <v>0.5</v>
      </c>
      <c r="G55" s="8"/>
    </row>
    <row r="56" spans="1:7" s="40" customFormat="1" ht="18.75" customHeight="1" collapsed="1">
      <c r="A56" s="9" t="s">
        <v>448</v>
      </c>
      <c r="B56" s="9"/>
      <c r="C56" s="10"/>
      <c r="D56" s="10"/>
      <c r="E56" s="10"/>
      <c r="F56" s="10"/>
      <c r="G56" s="11"/>
    </row>
    <row r="57" spans="1:7" hidden="1" outlineLevel="1">
      <c r="A57" s="222" t="s">
        <v>449</v>
      </c>
      <c r="B57" s="7" t="s">
        <v>50</v>
      </c>
      <c r="C57" s="7">
        <v>0.7</v>
      </c>
      <c r="D57" s="7">
        <v>0.35</v>
      </c>
      <c r="E57" s="7">
        <v>0.9</v>
      </c>
      <c r="F57" s="7">
        <v>0.5</v>
      </c>
      <c r="G57" s="8"/>
    </row>
    <row r="58" spans="1:7" hidden="1" outlineLevel="1">
      <c r="A58" s="222"/>
      <c r="B58" s="7" t="s">
        <v>51</v>
      </c>
      <c r="C58" s="7">
        <v>0.7</v>
      </c>
      <c r="D58" s="7">
        <v>0.4</v>
      </c>
      <c r="E58" s="7">
        <v>0.9</v>
      </c>
      <c r="F58" s="7">
        <v>0.5</v>
      </c>
      <c r="G58" s="8"/>
    </row>
    <row r="59" spans="1:7" hidden="1" outlineLevel="1">
      <c r="A59" s="222"/>
      <c r="B59" s="7" t="s">
        <v>52</v>
      </c>
      <c r="C59" s="7">
        <v>0.7</v>
      </c>
      <c r="D59" s="7">
        <v>0.35</v>
      </c>
      <c r="E59" s="7">
        <v>0.8</v>
      </c>
      <c r="F59" s="7">
        <v>0.5</v>
      </c>
      <c r="G59" s="8"/>
    </row>
    <row r="60" spans="1:7" hidden="1" outlineLevel="1">
      <c r="A60" s="222"/>
      <c r="B60" s="7" t="s">
        <v>53</v>
      </c>
      <c r="C60" s="7">
        <v>0.7</v>
      </c>
      <c r="D60" s="7">
        <v>0.4</v>
      </c>
      <c r="E60" s="7">
        <v>0.9</v>
      </c>
      <c r="F60" s="7">
        <v>0.5</v>
      </c>
      <c r="G60" s="8"/>
    </row>
    <row r="61" spans="1:7" hidden="1" outlineLevel="1">
      <c r="A61" s="222"/>
      <c r="B61" s="7" t="s">
        <v>54</v>
      </c>
      <c r="C61" s="7">
        <v>0.6</v>
      </c>
      <c r="D61" s="7">
        <v>0.35</v>
      </c>
      <c r="E61" s="7">
        <v>0.8</v>
      </c>
      <c r="F61" s="7">
        <v>0.5</v>
      </c>
      <c r="G61" s="8"/>
    </row>
    <row r="62" spans="1:7" hidden="1" outlineLevel="1">
      <c r="A62" s="222"/>
      <c r="B62" s="7" t="s">
        <v>55</v>
      </c>
      <c r="C62" s="7">
        <v>0.6</v>
      </c>
      <c r="D62" s="7">
        <v>0.35</v>
      </c>
      <c r="E62" s="7">
        <v>0.8</v>
      </c>
      <c r="F62" s="7">
        <v>0.45</v>
      </c>
      <c r="G62" s="8"/>
    </row>
    <row r="63" spans="1:7" hidden="1" outlineLevel="1">
      <c r="A63" s="222"/>
      <c r="B63" s="7" t="s">
        <v>56</v>
      </c>
      <c r="C63" s="7">
        <v>0.7</v>
      </c>
      <c r="D63" s="7">
        <v>0.35</v>
      </c>
      <c r="E63" s="7">
        <v>0.9</v>
      </c>
      <c r="F63" s="7">
        <v>0.5</v>
      </c>
      <c r="G63" s="8"/>
    </row>
    <row r="64" spans="1:7" hidden="1" outlineLevel="1">
      <c r="A64" s="222"/>
      <c r="B64" s="7" t="s">
        <v>57</v>
      </c>
      <c r="C64" s="7">
        <v>0.7</v>
      </c>
      <c r="D64" s="7">
        <v>0.4</v>
      </c>
      <c r="E64" s="7">
        <v>0.9</v>
      </c>
      <c r="F64" s="7">
        <v>0.5</v>
      </c>
      <c r="G64" s="8"/>
    </row>
    <row r="65" spans="1:7" hidden="1" outlineLevel="1">
      <c r="A65" s="222"/>
      <c r="B65" s="7" t="s">
        <v>58</v>
      </c>
      <c r="C65" s="7">
        <v>0.7</v>
      </c>
      <c r="D65" s="7">
        <v>0.4</v>
      </c>
      <c r="E65" s="7">
        <v>0.9</v>
      </c>
      <c r="F65" s="7">
        <v>0.55000000000000004</v>
      </c>
      <c r="G65" s="8" t="s">
        <v>59</v>
      </c>
    </row>
    <row r="66" spans="1:7" hidden="1" outlineLevel="1">
      <c r="A66" s="222"/>
      <c r="B66" s="7" t="s">
        <v>60</v>
      </c>
      <c r="C66" s="7">
        <v>0.7</v>
      </c>
      <c r="D66" s="7">
        <v>0.4</v>
      </c>
      <c r="E66" s="7">
        <v>0.9</v>
      </c>
      <c r="F66" s="7">
        <v>0.5</v>
      </c>
      <c r="G66" s="8" t="s">
        <v>59</v>
      </c>
    </row>
    <row r="67" spans="1:7" hidden="1" outlineLevel="1">
      <c r="A67" s="222"/>
      <c r="B67" s="7" t="s">
        <v>61</v>
      </c>
      <c r="C67" s="7">
        <v>0.8</v>
      </c>
      <c r="D67" s="7">
        <v>0.45</v>
      </c>
      <c r="E67" s="7">
        <v>1</v>
      </c>
      <c r="F67" s="7">
        <v>0.55000000000000004</v>
      </c>
      <c r="G67" s="8" t="s">
        <v>59</v>
      </c>
    </row>
    <row r="68" spans="1:7" hidden="1" outlineLevel="1">
      <c r="A68" s="222"/>
      <c r="B68" s="7" t="s">
        <v>62</v>
      </c>
      <c r="C68" s="7">
        <v>0.7</v>
      </c>
      <c r="D68" s="7">
        <v>0.4</v>
      </c>
      <c r="E68" s="7">
        <v>0.9</v>
      </c>
      <c r="F68" s="7">
        <v>0.5</v>
      </c>
      <c r="G68" s="8"/>
    </row>
    <row r="69" spans="1:7" hidden="1" outlineLevel="1">
      <c r="A69" s="222"/>
      <c r="B69" s="7" t="s">
        <v>63</v>
      </c>
      <c r="C69" s="7">
        <v>0.7</v>
      </c>
      <c r="D69" s="7">
        <v>0.4</v>
      </c>
      <c r="E69" s="7">
        <v>0.9</v>
      </c>
      <c r="F69" s="7">
        <v>0.5</v>
      </c>
      <c r="G69" s="8" t="s">
        <v>59</v>
      </c>
    </row>
    <row r="70" spans="1:7" s="40" customFormat="1" ht="18.75" customHeight="1" collapsed="1">
      <c r="A70" s="9" t="s">
        <v>450</v>
      </c>
      <c r="B70" s="9"/>
      <c r="C70" s="10"/>
      <c r="D70" s="10"/>
      <c r="E70" s="10"/>
      <c r="F70" s="10"/>
      <c r="G70" s="11"/>
    </row>
    <row r="71" spans="1:7" hidden="1" outlineLevel="1">
      <c r="A71" s="222" t="s">
        <v>451</v>
      </c>
      <c r="B71" s="7" t="s">
        <v>64</v>
      </c>
      <c r="C71" s="7">
        <v>0.7</v>
      </c>
      <c r="D71" s="7">
        <v>0.4</v>
      </c>
      <c r="E71" s="7">
        <v>0.9</v>
      </c>
      <c r="F71" s="7">
        <v>0.5</v>
      </c>
      <c r="G71" s="8"/>
    </row>
    <row r="72" spans="1:7" hidden="1" outlineLevel="1">
      <c r="A72" s="222"/>
      <c r="B72" s="7" t="s">
        <v>65</v>
      </c>
      <c r="C72" s="7">
        <v>0.7</v>
      </c>
      <c r="D72" s="7">
        <v>0.35</v>
      </c>
      <c r="E72" s="7">
        <v>0.9</v>
      </c>
      <c r="F72" s="7">
        <v>0.5</v>
      </c>
      <c r="G72" s="8"/>
    </row>
    <row r="73" spans="1:7" hidden="1" outlineLevel="1">
      <c r="A73" s="222"/>
      <c r="B73" s="7" t="s">
        <v>66</v>
      </c>
      <c r="C73" s="7">
        <v>0.7</v>
      </c>
      <c r="D73" s="7">
        <v>0.4</v>
      </c>
      <c r="E73" s="7">
        <v>0.9</v>
      </c>
      <c r="F73" s="7">
        <v>0.5</v>
      </c>
      <c r="G73" s="8"/>
    </row>
    <row r="74" spans="1:7" s="40" customFormat="1" ht="18.75" customHeight="1" collapsed="1">
      <c r="A74" s="9" t="s">
        <v>452</v>
      </c>
      <c r="B74" s="9"/>
      <c r="C74" s="10"/>
      <c r="D74" s="10"/>
      <c r="E74" s="10"/>
      <c r="F74" s="10"/>
      <c r="G74" s="11"/>
    </row>
    <row r="75" spans="1:7" hidden="1" outlineLevel="1">
      <c r="A75" s="222" t="s">
        <v>453</v>
      </c>
      <c r="B75" s="7" t="s">
        <v>67</v>
      </c>
      <c r="C75" s="7">
        <v>0.7</v>
      </c>
      <c r="D75" s="7">
        <v>0.4</v>
      </c>
      <c r="E75" s="7">
        <v>0.9</v>
      </c>
      <c r="F75" s="7">
        <v>0.5</v>
      </c>
      <c r="G75" s="8" t="s">
        <v>59</v>
      </c>
    </row>
    <row r="76" spans="1:7" hidden="1" outlineLevel="1">
      <c r="A76" s="222"/>
      <c r="B76" s="7" t="s">
        <v>68</v>
      </c>
      <c r="C76" s="7">
        <v>0.7</v>
      </c>
      <c r="D76" s="7">
        <v>0.4</v>
      </c>
      <c r="E76" s="7">
        <v>0.9</v>
      </c>
      <c r="F76" s="7">
        <v>0.5</v>
      </c>
      <c r="G76" s="8" t="s">
        <v>69</v>
      </c>
    </row>
    <row r="77" spans="1:7" hidden="1" outlineLevel="1">
      <c r="A77" s="222"/>
      <c r="B77" s="7" t="s">
        <v>70</v>
      </c>
      <c r="C77" s="7">
        <v>0.7</v>
      </c>
      <c r="D77" s="7">
        <v>0.4</v>
      </c>
      <c r="E77" s="7">
        <v>0.9</v>
      </c>
      <c r="F77" s="7">
        <v>0.5</v>
      </c>
      <c r="G77" s="8" t="s">
        <v>71</v>
      </c>
    </row>
    <row r="78" spans="1:7" hidden="1" outlineLevel="1">
      <c r="A78" s="222"/>
      <c r="B78" s="7" t="s">
        <v>72</v>
      </c>
      <c r="C78" s="7">
        <v>0.7</v>
      </c>
      <c r="D78" s="7">
        <v>0.4</v>
      </c>
      <c r="E78" s="7">
        <v>0.9</v>
      </c>
      <c r="F78" s="7">
        <v>0.5</v>
      </c>
      <c r="G78" s="8"/>
    </row>
    <row r="79" spans="1:7" hidden="1" outlineLevel="1">
      <c r="A79" s="222"/>
      <c r="B79" s="7" t="s">
        <v>73</v>
      </c>
      <c r="C79" s="7">
        <v>0.7</v>
      </c>
      <c r="D79" s="7">
        <v>0.4</v>
      </c>
      <c r="E79" s="7">
        <v>0.9</v>
      </c>
      <c r="F79" s="7">
        <v>0.5</v>
      </c>
      <c r="G79" s="8" t="s">
        <v>59</v>
      </c>
    </row>
    <row r="80" spans="1:7" hidden="1" outlineLevel="1">
      <c r="A80" s="222"/>
      <c r="B80" s="7" t="s">
        <v>74</v>
      </c>
      <c r="C80" s="7">
        <v>0.7</v>
      </c>
      <c r="D80" s="7">
        <v>0.4</v>
      </c>
      <c r="E80" s="7">
        <v>0.9</v>
      </c>
      <c r="F80" s="7">
        <v>0.5</v>
      </c>
      <c r="G80" s="8"/>
    </row>
    <row r="81" spans="1:7" hidden="1" outlineLevel="1">
      <c r="A81" s="222"/>
      <c r="B81" s="7" t="s">
        <v>75</v>
      </c>
      <c r="C81" s="7">
        <v>0.8</v>
      </c>
      <c r="D81" s="7">
        <v>0.45</v>
      </c>
      <c r="E81" s="7">
        <v>1</v>
      </c>
      <c r="F81" s="7">
        <v>0.55000000000000004</v>
      </c>
      <c r="G81" s="8" t="s">
        <v>69</v>
      </c>
    </row>
    <row r="82" spans="1:7" ht="25.5" hidden="1" outlineLevel="1">
      <c r="A82" s="222"/>
      <c r="B82" s="7" t="s">
        <v>76</v>
      </c>
      <c r="C82" s="7">
        <v>0.8</v>
      </c>
      <c r="D82" s="7">
        <v>0.45</v>
      </c>
      <c r="E82" s="7">
        <v>1</v>
      </c>
      <c r="F82" s="7">
        <v>0.55000000000000004</v>
      </c>
      <c r="G82" s="8" t="s">
        <v>77</v>
      </c>
    </row>
    <row r="83" spans="1:7" hidden="1" outlineLevel="1">
      <c r="A83" s="222"/>
      <c r="B83" s="7" t="s">
        <v>78</v>
      </c>
      <c r="C83" s="7">
        <v>0.8</v>
      </c>
      <c r="D83" s="7">
        <v>0.45</v>
      </c>
      <c r="E83" s="7">
        <v>1</v>
      </c>
      <c r="F83" s="7">
        <v>0.55000000000000004</v>
      </c>
      <c r="G83" s="8" t="s">
        <v>59</v>
      </c>
    </row>
    <row r="84" spans="1:7" hidden="1" outlineLevel="1">
      <c r="A84" s="222"/>
      <c r="B84" s="7" t="s">
        <v>79</v>
      </c>
      <c r="C84" s="7">
        <v>0.8</v>
      </c>
      <c r="D84" s="7">
        <v>0.45</v>
      </c>
      <c r="E84" s="7">
        <v>1</v>
      </c>
      <c r="F84" s="7">
        <v>0.55000000000000004</v>
      </c>
      <c r="G84" s="8" t="s">
        <v>69</v>
      </c>
    </row>
    <row r="85" spans="1:7" hidden="1" outlineLevel="1">
      <c r="A85" s="222"/>
      <c r="B85" s="7" t="s">
        <v>80</v>
      </c>
      <c r="C85" s="7">
        <v>0.8</v>
      </c>
      <c r="D85" s="7">
        <v>0.45</v>
      </c>
      <c r="E85" s="7">
        <v>1</v>
      </c>
      <c r="F85" s="7">
        <v>0.55000000000000004</v>
      </c>
      <c r="G85" s="8" t="s">
        <v>59</v>
      </c>
    </row>
    <row r="86" spans="1:7" hidden="1" outlineLevel="1">
      <c r="A86" s="222"/>
      <c r="B86" s="7" t="s">
        <v>81</v>
      </c>
      <c r="C86" s="7">
        <v>0.8</v>
      </c>
      <c r="D86" s="7">
        <v>0.45</v>
      </c>
      <c r="E86" s="7">
        <v>1</v>
      </c>
      <c r="F86" s="7">
        <v>0.55000000000000004</v>
      </c>
      <c r="G86" s="8" t="s">
        <v>59</v>
      </c>
    </row>
    <row r="87" spans="1:7" hidden="1" outlineLevel="1">
      <c r="A87" s="222"/>
      <c r="B87" s="7" t="s">
        <v>82</v>
      </c>
      <c r="C87" s="7">
        <v>0.8</v>
      </c>
      <c r="D87" s="7">
        <v>0.45</v>
      </c>
      <c r="E87" s="7">
        <v>1</v>
      </c>
      <c r="F87" s="7">
        <v>0.55000000000000004</v>
      </c>
      <c r="G87" s="8" t="s">
        <v>69</v>
      </c>
    </row>
    <row r="88" spans="1:7" hidden="1" outlineLevel="1">
      <c r="A88" s="222"/>
      <c r="B88" s="7" t="s">
        <v>83</v>
      </c>
      <c r="C88" s="7">
        <v>0.7</v>
      </c>
      <c r="D88" s="7">
        <v>0.4</v>
      </c>
      <c r="E88" s="7">
        <v>0.9</v>
      </c>
      <c r="F88" s="7">
        <v>0.5</v>
      </c>
      <c r="G88" s="8"/>
    </row>
    <row r="89" spans="1:7" hidden="1" outlineLevel="1">
      <c r="A89" s="222"/>
      <c r="B89" s="7" t="s">
        <v>84</v>
      </c>
      <c r="C89" s="7">
        <v>0.8</v>
      </c>
      <c r="D89" s="7">
        <v>0.45</v>
      </c>
      <c r="E89" s="7">
        <v>1</v>
      </c>
      <c r="F89" s="7">
        <v>0.55000000000000004</v>
      </c>
      <c r="G89" s="8" t="s">
        <v>59</v>
      </c>
    </row>
    <row r="90" spans="1:7" hidden="1" outlineLevel="1">
      <c r="A90" s="222"/>
      <c r="B90" s="7" t="s">
        <v>85</v>
      </c>
      <c r="C90" s="7">
        <v>0.8</v>
      </c>
      <c r="D90" s="7">
        <v>0.45</v>
      </c>
      <c r="E90" s="7">
        <v>1</v>
      </c>
      <c r="F90" s="7">
        <v>0.55000000000000004</v>
      </c>
      <c r="G90" s="8" t="s">
        <v>59</v>
      </c>
    </row>
    <row r="91" spans="1:7" hidden="1" outlineLevel="1">
      <c r="A91" s="222"/>
      <c r="B91" s="7" t="s">
        <v>86</v>
      </c>
      <c r="C91" s="7">
        <v>0.8</v>
      </c>
      <c r="D91" s="7">
        <v>0.45</v>
      </c>
      <c r="E91" s="7">
        <v>1</v>
      </c>
      <c r="F91" s="7">
        <v>0.55000000000000004</v>
      </c>
      <c r="G91" s="8" t="s">
        <v>59</v>
      </c>
    </row>
    <row r="92" spans="1:7" hidden="1" outlineLevel="1">
      <c r="A92" s="222"/>
      <c r="B92" s="7" t="s">
        <v>87</v>
      </c>
      <c r="C92" s="7">
        <v>0.7</v>
      </c>
      <c r="D92" s="7">
        <v>0.4</v>
      </c>
      <c r="E92" s="7">
        <v>0.9</v>
      </c>
      <c r="F92" s="7">
        <v>0.5</v>
      </c>
      <c r="G92" s="8" t="s">
        <v>88</v>
      </c>
    </row>
    <row r="93" spans="1:7" s="40" customFormat="1" ht="18.75" customHeight="1" collapsed="1">
      <c r="A93" s="9" t="s">
        <v>454</v>
      </c>
      <c r="B93" s="9"/>
      <c r="C93" s="10"/>
      <c r="D93" s="10"/>
      <c r="E93" s="10"/>
      <c r="F93" s="10"/>
      <c r="G93" s="11"/>
    </row>
    <row r="94" spans="1:7" hidden="1" outlineLevel="1">
      <c r="A94" s="222" t="s">
        <v>455</v>
      </c>
      <c r="B94" s="7" t="s">
        <v>89</v>
      </c>
      <c r="C94" s="7">
        <v>0.8</v>
      </c>
      <c r="D94" s="7">
        <v>0.45</v>
      </c>
      <c r="E94" s="7">
        <v>1</v>
      </c>
      <c r="F94" s="7">
        <v>0.55000000000000004</v>
      </c>
      <c r="G94" s="8" t="s">
        <v>69</v>
      </c>
    </row>
    <row r="95" spans="1:7" hidden="1" outlineLevel="1">
      <c r="A95" s="222"/>
      <c r="B95" s="7" t="s">
        <v>90</v>
      </c>
      <c r="C95" s="7">
        <v>0.8</v>
      </c>
      <c r="D95" s="7">
        <v>0.45</v>
      </c>
      <c r="E95" s="7">
        <v>1</v>
      </c>
      <c r="F95" s="7">
        <v>0.55000000000000004</v>
      </c>
      <c r="G95" s="8" t="s">
        <v>69</v>
      </c>
    </row>
    <row r="96" spans="1:7" hidden="1" outlineLevel="1">
      <c r="A96" s="222"/>
      <c r="B96" s="7" t="s">
        <v>91</v>
      </c>
      <c r="C96" s="7">
        <v>0.7</v>
      </c>
      <c r="D96" s="7">
        <v>0.4</v>
      </c>
      <c r="E96" s="7">
        <v>0.9</v>
      </c>
      <c r="F96" s="7">
        <v>0.5</v>
      </c>
      <c r="G96" s="8" t="s">
        <v>71</v>
      </c>
    </row>
    <row r="97" spans="1:7" hidden="1" outlineLevel="1">
      <c r="A97" s="222"/>
      <c r="B97" s="7" t="s">
        <v>92</v>
      </c>
      <c r="C97" s="7">
        <v>0.8</v>
      </c>
      <c r="D97" s="7">
        <v>0.45</v>
      </c>
      <c r="E97" s="7">
        <v>1</v>
      </c>
      <c r="F97" s="7">
        <v>0.55000000000000004</v>
      </c>
      <c r="G97" s="8" t="s">
        <v>71</v>
      </c>
    </row>
    <row r="98" spans="1:7" hidden="1" outlineLevel="1">
      <c r="A98" s="222"/>
      <c r="B98" s="7" t="s">
        <v>93</v>
      </c>
      <c r="C98" s="7">
        <v>0.8</v>
      </c>
      <c r="D98" s="7">
        <v>0.45</v>
      </c>
      <c r="E98" s="7">
        <v>1</v>
      </c>
      <c r="F98" s="7">
        <v>0.55000000000000004</v>
      </c>
      <c r="G98" s="8" t="s">
        <v>71</v>
      </c>
    </row>
    <row r="99" spans="1:7" hidden="1" outlineLevel="1">
      <c r="A99" s="222"/>
      <c r="B99" s="7" t="s">
        <v>94</v>
      </c>
      <c r="C99" s="7">
        <v>0.7</v>
      </c>
      <c r="D99" s="7">
        <v>0.4</v>
      </c>
      <c r="E99" s="7">
        <v>0.9</v>
      </c>
      <c r="F99" s="7">
        <v>0.5</v>
      </c>
      <c r="G99" s="8" t="s">
        <v>71</v>
      </c>
    </row>
    <row r="100" spans="1:7" hidden="1" outlineLevel="1">
      <c r="A100" s="222"/>
      <c r="B100" s="7" t="s">
        <v>95</v>
      </c>
      <c r="C100" s="7">
        <v>0.8</v>
      </c>
      <c r="D100" s="7">
        <v>0.45</v>
      </c>
      <c r="E100" s="7">
        <v>1</v>
      </c>
      <c r="F100" s="7">
        <v>0.55000000000000004</v>
      </c>
      <c r="G100" s="8" t="s">
        <v>69</v>
      </c>
    </row>
    <row r="101" spans="1:7" hidden="1" outlineLevel="1">
      <c r="A101" s="222"/>
      <c r="B101" s="7" t="s">
        <v>96</v>
      </c>
      <c r="C101" s="7">
        <v>0.8</v>
      </c>
      <c r="D101" s="7">
        <v>0.45</v>
      </c>
      <c r="E101" s="7">
        <v>1</v>
      </c>
      <c r="F101" s="7">
        <v>0.55000000000000004</v>
      </c>
      <c r="G101" s="8" t="s">
        <v>69</v>
      </c>
    </row>
    <row r="102" spans="1:7" hidden="1" outlineLevel="1">
      <c r="A102" s="222"/>
      <c r="B102" s="7" t="s">
        <v>97</v>
      </c>
      <c r="C102" s="7">
        <v>0.8</v>
      </c>
      <c r="D102" s="7">
        <v>0.45</v>
      </c>
      <c r="E102" s="7">
        <v>1</v>
      </c>
      <c r="F102" s="7">
        <v>0.55000000000000004</v>
      </c>
      <c r="G102" s="8" t="s">
        <v>69</v>
      </c>
    </row>
    <row r="103" spans="1:7" hidden="1" outlineLevel="1">
      <c r="A103" s="222"/>
      <c r="B103" s="7" t="s">
        <v>98</v>
      </c>
      <c r="C103" s="7">
        <v>0.8</v>
      </c>
      <c r="D103" s="7">
        <v>0.45</v>
      </c>
      <c r="E103" s="7">
        <v>1</v>
      </c>
      <c r="F103" s="7">
        <v>0.55000000000000004</v>
      </c>
      <c r="G103" s="8" t="s">
        <v>69</v>
      </c>
    </row>
    <row r="104" spans="1:7" hidden="1" outlineLevel="1">
      <c r="A104" s="222"/>
      <c r="B104" s="7" t="s">
        <v>99</v>
      </c>
      <c r="C104" s="7">
        <v>0.8</v>
      </c>
      <c r="D104" s="7">
        <v>0.45</v>
      </c>
      <c r="E104" s="7">
        <v>1</v>
      </c>
      <c r="F104" s="7">
        <v>0.55000000000000004</v>
      </c>
      <c r="G104" s="8" t="s">
        <v>69</v>
      </c>
    </row>
    <row r="105" spans="1:7" hidden="1" outlineLevel="1">
      <c r="A105" s="222"/>
      <c r="B105" s="7" t="s">
        <v>100</v>
      </c>
      <c r="C105" s="7">
        <v>0.8</v>
      </c>
      <c r="D105" s="7">
        <v>0.45</v>
      </c>
      <c r="E105" s="7">
        <v>1</v>
      </c>
      <c r="F105" s="7">
        <v>0.55000000000000004</v>
      </c>
      <c r="G105" s="8" t="s">
        <v>69</v>
      </c>
    </row>
    <row r="106" spans="1:7" hidden="1" outlineLevel="1">
      <c r="A106" s="222"/>
      <c r="B106" s="7" t="s">
        <v>101</v>
      </c>
      <c r="C106" s="7">
        <v>0.7</v>
      </c>
      <c r="D106" s="7">
        <v>0.4</v>
      </c>
      <c r="E106" s="7">
        <v>0.9</v>
      </c>
      <c r="F106" s="7">
        <v>0.5</v>
      </c>
      <c r="G106" s="8" t="s">
        <v>69</v>
      </c>
    </row>
    <row r="107" spans="1:7" hidden="1" outlineLevel="1">
      <c r="A107" s="222"/>
      <c r="B107" s="7" t="s">
        <v>102</v>
      </c>
      <c r="C107" s="7">
        <v>0.7</v>
      </c>
      <c r="D107" s="7">
        <v>0.4</v>
      </c>
      <c r="E107" s="7">
        <v>0.9</v>
      </c>
      <c r="F107" s="7">
        <v>0.5</v>
      </c>
      <c r="G107" s="8" t="s">
        <v>69</v>
      </c>
    </row>
    <row r="108" spans="1:7" hidden="1" outlineLevel="1">
      <c r="A108" s="222"/>
      <c r="B108" s="7" t="s">
        <v>103</v>
      </c>
      <c r="C108" s="7">
        <v>0.7</v>
      </c>
      <c r="D108" s="7">
        <v>0.4</v>
      </c>
      <c r="E108" s="7">
        <v>0.9</v>
      </c>
      <c r="F108" s="7">
        <v>0.5</v>
      </c>
      <c r="G108" s="8" t="s">
        <v>104</v>
      </c>
    </row>
    <row r="109" spans="1:7" hidden="1" outlineLevel="1">
      <c r="A109" s="222"/>
      <c r="B109" s="7" t="s">
        <v>105</v>
      </c>
      <c r="C109" s="7">
        <v>0.7</v>
      </c>
      <c r="D109" s="7">
        <v>0.4</v>
      </c>
      <c r="E109" s="7">
        <v>0.9</v>
      </c>
      <c r="F109" s="7">
        <v>0.5</v>
      </c>
      <c r="G109" s="8"/>
    </row>
    <row r="110" spans="1:7" hidden="1" outlineLevel="1">
      <c r="A110" s="222"/>
      <c r="B110" s="7" t="s">
        <v>106</v>
      </c>
      <c r="C110" s="7">
        <v>0.7</v>
      </c>
      <c r="D110" s="7">
        <v>0.4</v>
      </c>
      <c r="E110" s="7">
        <v>0.9</v>
      </c>
      <c r="F110" s="7">
        <v>0.5</v>
      </c>
      <c r="G110" s="8" t="s">
        <v>71</v>
      </c>
    </row>
    <row r="111" spans="1:7" hidden="1" outlineLevel="1">
      <c r="A111" s="222"/>
      <c r="B111" s="7" t="s">
        <v>107</v>
      </c>
      <c r="C111" s="7">
        <v>0.8</v>
      </c>
      <c r="D111" s="7">
        <v>0.45</v>
      </c>
      <c r="E111" s="7">
        <v>1</v>
      </c>
      <c r="F111" s="7">
        <v>0.55000000000000004</v>
      </c>
      <c r="G111" s="8" t="s">
        <v>104</v>
      </c>
    </row>
    <row r="112" spans="1:7" hidden="1" outlineLevel="1">
      <c r="A112" s="222"/>
      <c r="B112" s="7" t="s">
        <v>108</v>
      </c>
      <c r="C112" s="7">
        <v>0.8</v>
      </c>
      <c r="D112" s="7">
        <v>0.45</v>
      </c>
      <c r="E112" s="7">
        <v>1</v>
      </c>
      <c r="F112" s="7">
        <v>0.55000000000000004</v>
      </c>
      <c r="G112" s="8" t="s">
        <v>104</v>
      </c>
    </row>
    <row r="113" spans="1:7" hidden="1" outlineLevel="1">
      <c r="A113" s="222"/>
      <c r="B113" s="7" t="s">
        <v>109</v>
      </c>
      <c r="C113" s="7">
        <v>0.8</v>
      </c>
      <c r="D113" s="7">
        <v>0.45</v>
      </c>
      <c r="E113" s="7">
        <v>1</v>
      </c>
      <c r="F113" s="7">
        <v>0.55000000000000004</v>
      </c>
      <c r="G113" s="8" t="s">
        <v>104</v>
      </c>
    </row>
    <row r="114" spans="1:7" hidden="1" outlineLevel="1">
      <c r="A114" s="222"/>
      <c r="B114" s="7" t="s">
        <v>110</v>
      </c>
      <c r="C114" s="7">
        <v>0.7</v>
      </c>
      <c r="D114" s="7">
        <v>0.4</v>
      </c>
      <c r="E114" s="7">
        <v>0.9</v>
      </c>
      <c r="F114" s="7">
        <v>0.5</v>
      </c>
      <c r="G114" s="8" t="s">
        <v>104</v>
      </c>
    </row>
    <row r="115" spans="1:7" s="40" customFormat="1" ht="18.75" customHeight="1" collapsed="1">
      <c r="A115" s="9" t="s">
        <v>456</v>
      </c>
      <c r="B115" s="9"/>
      <c r="C115" s="10"/>
      <c r="D115" s="10"/>
      <c r="E115" s="10"/>
      <c r="F115" s="10"/>
      <c r="G115" s="11"/>
    </row>
    <row r="116" spans="1:7" hidden="1" outlineLevel="1">
      <c r="A116" s="222" t="s">
        <v>457</v>
      </c>
      <c r="B116" s="7" t="s">
        <v>111</v>
      </c>
      <c r="C116" s="7">
        <v>0.8</v>
      </c>
      <c r="D116" s="7">
        <v>0.45</v>
      </c>
      <c r="E116" s="7">
        <v>1</v>
      </c>
      <c r="F116" s="7">
        <v>0.5</v>
      </c>
      <c r="G116" s="8" t="s">
        <v>104</v>
      </c>
    </row>
    <row r="117" spans="1:7" hidden="1" outlineLevel="1">
      <c r="A117" s="222"/>
      <c r="B117" s="7" t="s">
        <v>64</v>
      </c>
      <c r="C117" s="7">
        <v>0.8</v>
      </c>
      <c r="D117" s="7">
        <v>0.45</v>
      </c>
      <c r="E117" s="7">
        <v>1</v>
      </c>
      <c r="F117" s="7">
        <v>0.55000000000000004</v>
      </c>
      <c r="G117" s="8" t="s">
        <v>104</v>
      </c>
    </row>
    <row r="118" spans="1:7" hidden="1" outlineLevel="1">
      <c r="A118" s="222"/>
      <c r="B118" s="7" t="s">
        <v>112</v>
      </c>
      <c r="C118" s="7">
        <v>0.7</v>
      </c>
      <c r="D118" s="7">
        <v>0.45</v>
      </c>
      <c r="E118" s="7">
        <v>1</v>
      </c>
      <c r="F118" s="7">
        <v>0.5</v>
      </c>
      <c r="G118" s="8" t="s">
        <v>104</v>
      </c>
    </row>
    <row r="119" spans="1:7" hidden="1" outlineLevel="1">
      <c r="A119" s="222"/>
      <c r="B119" s="7" t="s">
        <v>113</v>
      </c>
      <c r="C119" s="7">
        <v>0.8</v>
      </c>
      <c r="D119" s="7">
        <v>0.45</v>
      </c>
      <c r="E119" s="7">
        <v>1</v>
      </c>
      <c r="F119" s="7">
        <v>0.5</v>
      </c>
      <c r="G119" s="8" t="s">
        <v>104</v>
      </c>
    </row>
    <row r="120" spans="1:7" hidden="1" outlineLevel="1">
      <c r="A120" s="222"/>
      <c r="B120" s="7" t="s">
        <v>65</v>
      </c>
      <c r="C120" s="7">
        <v>0.8</v>
      </c>
      <c r="D120" s="7">
        <v>0.45</v>
      </c>
      <c r="E120" s="7">
        <v>1</v>
      </c>
      <c r="F120" s="7">
        <v>0.5</v>
      </c>
      <c r="G120" s="8" t="s">
        <v>104</v>
      </c>
    </row>
    <row r="121" spans="1:7" hidden="1" outlineLevel="1">
      <c r="A121" s="222"/>
      <c r="B121" s="7" t="s">
        <v>114</v>
      </c>
      <c r="C121" s="7">
        <v>0.7</v>
      </c>
      <c r="D121" s="7">
        <v>0.4</v>
      </c>
      <c r="E121" s="7">
        <v>0.9</v>
      </c>
      <c r="F121" s="7">
        <v>0.5</v>
      </c>
      <c r="G121" s="8" t="s">
        <v>69</v>
      </c>
    </row>
    <row r="122" spans="1:7" hidden="1" outlineLevel="1">
      <c r="A122" s="222"/>
      <c r="B122" s="7" t="s">
        <v>115</v>
      </c>
      <c r="C122" s="7">
        <v>0.7</v>
      </c>
      <c r="D122" s="7">
        <v>0.4</v>
      </c>
      <c r="E122" s="7">
        <v>0.9</v>
      </c>
      <c r="F122" s="7">
        <v>0.5</v>
      </c>
      <c r="G122" s="8" t="s">
        <v>104</v>
      </c>
    </row>
    <row r="123" spans="1:7" hidden="1" outlineLevel="1">
      <c r="A123" s="222"/>
      <c r="B123" s="7" t="s">
        <v>116</v>
      </c>
      <c r="C123" s="7">
        <v>0.8</v>
      </c>
      <c r="D123" s="7">
        <v>0.45</v>
      </c>
      <c r="E123" s="7">
        <v>1</v>
      </c>
      <c r="F123" s="7">
        <v>0.55000000000000004</v>
      </c>
      <c r="G123" s="8" t="s">
        <v>69</v>
      </c>
    </row>
    <row r="124" spans="1:7" s="40" customFormat="1" ht="18.75" customHeight="1" collapsed="1">
      <c r="A124" s="9" t="s">
        <v>458</v>
      </c>
      <c r="B124" s="9"/>
      <c r="C124" s="10"/>
      <c r="D124" s="10"/>
      <c r="E124" s="10"/>
      <c r="F124" s="10"/>
      <c r="G124" s="11"/>
    </row>
    <row r="125" spans="1:7" hidden="1" outlineLevel="1">
      <c r="A125" s="222" t="s">
        <v>459</v>
      </c>
      <c r="B125" s="7" t="s">
        <v>117</v>
      </c>
      <c r="C125" s="7">
        <v>0.7</v>
      </c>
      <c r="D125" s="7">
        <v>0.4</v>
      </c>
      <c r="E125" s="7">
        <v>0.9</v>
      </c>
      <c r="F125" s="7">
        <v>0.5</v>
      </c>
      <c r="G125" s="8" t="s">
        <v>104</v>
      </c>
    </row>
    <row r="126" spans="1:7" hidden="1" outlineLevel="1">
      <c r="A126" s="222"/>
      <c r="B126" s="7" t="s">
        <v>118</v>
      </c>
      <c r="C126" s="7">
        <v>0.7</v>
      </c>
      <c r="D126" s="7">
        <v>0.4</v>
      </c>
      <c r="E126" s="7">
        <v>0.9</v>
      </c>
      <c r="F126" s="7">
        <v>0.5</v>
      </c>
      <c r="G126" s="8"/>
    </row>
    <row r="127" spans="1:7" hidden="1" outlineLevel="1">
      <c r="A127" s="222"/>
      <c r="B127" s="7" t="s">
        <v>119</v>
      </c>
      <c r="C127" s="7">
        <v>0.7</v>
      </c>
      <c r="D127" s="7">
        <v>0.4</v>
      </c>
      <c r="E127" s="7">
        <v>0.9</v>
      </c>
      <c r="F127" s="7">
        <v>0.5</v>
      </c>
      <c r="G127" s="8"/>
    </row>
    <row r="128" spans="1:7" hidden="1" outlineLevel="1">
      <c r="A128" s="222"/>
      <c r="B128" s="7" t="s">
        <v>120</v>
      </c>
      <c r="C128" s="7">
        <v>0.7</v>
      </c>
      <c r="D128" s="7">
        <v>0.4</v>
      </c>
      <c r="E128" s="7">
        <v>0.9</v>
      </c>
      <c r="F128" s="7">
        <v>0.5</v>
      </c>
      <c r="G128" s="8"/>
    </row>
    <row r="129" spans="1:7" hidden="1" outlineLevel="1">
      <c r="A129" s="222"/>
      <c r="B129" s="7" t="s">
        <v>121</v>
      </c>
      <c r="C129" s="7">
        <v>0.7</v>
      </c>
      <c r="D129" s="7">
        <v>0.4</v>
      </c>
      <c r="E129" s="7">
        <v>0.9</v>
      </c>
      <c r="F129" s="7">
        <v>0.5</v>
      </c>
      <c r="G129" s="8"/>
    </row>
    <row r="130" spans="1:7" hidden="1" outlineLevel="1">
      <c r="A130" s="222"/>
      <c r="B130" s="7" t="s">
        <v>122</v>
      </c>
      <c r="C130" s="7">
        <v>0.7</v>
      </c>
      <c r="D130" s="7">
        <v>0.4</v>
      </c>
      <c r="E130" s="7">
        <v>0.9</v>
      </c>
      <c r="F130" s="7">
        <v>0.5</v>
      </c>
      <c r="G130" s="8"/>
    </row>
    <row r="131" spans="1:7" hidden="1" outlineLevel="1">
      <c r="A131" s="222"/>
      <c r="B131" s="7" t="s">
        <v>123</v>
      </c>
      <c r="C131" s="7">
        <v>0.7</v>
      </c>
      <c r="D131" s="7">
        <v>0.4</v>
      </c>
      <c r="E131" s="7">
        <v>0.9</v>
      </c>
      <c r="F131" s="7">
        <v>0.5</v>
      </c>
      <c r="G131" s="8"/>
    </row>
    <row r="132" spans="1:7" hidden="1" outlineLevel="1">
      <c r="A132" s="222"/>
      <c r="B132" s="7" t="s">
        <v>124</v>
      </c>
      <c r="C132" s="7">
        <v>0.7</v>
      </c>
      <c r="D132" s="7">
        <v>0.4</v>
      </c>
      <c r="E132" s="7">
        <v>0.9</v>
      </c>
      <c r="F132" s="7">
        <v>0.5</v>
      </c>
      <c r="G132" s="8" t="s">
        <v>104</v>
      </c>
    </row>
    <row r="133" spans="1:7" hidden="1" outlineLevel="1">
      <c r="A133" s="222"/>
      <c r="B133" s="7" t="s">
        <v>125</v>
      </c>
      <c r="C133" s="7">
        <v>0.7</v>
      </c>
      <c r="D133" s="7">
        <v>0.4</v>
      </c>
      <c r="E133" s="7">
        <v>0.9</v>
      </c>
      <c r="F133" s="7">
        <v>0.5</v>
      </c>
      <c r="G133" s="8" t="s">
        <v>104</v>
      </c>
    </row>
    <row r="134" spans="1:7" hidden="1" outlineLevel="1">
      <c r="A134" s="222"/>
      <c r="B134" s="7" t="s">
        <v>126</v>
      </c>
      <c r="C134" s="7">
        <v>0.7</v>
      </c>
      <c r="D134" s="7">
        <v>0.4</v>
      </c>
      <c r="E134" s="7">
        <v>0.9</v>
      </c>
      <c r="F134" s="7">
        <v>0.5</v>
      </c>
      <c r="G134" s="8" t="s">
        <v>104</v>
      </c>
    </row>
    <row r="135" spans="1:7" hidden="1" outlineLevel="1">
      <c r="A135" s="222"/>
      <c r="B135" s="7" t="s">
        <v>127</v>
      </c>
      <c r="C135" s="7">
        <v>0.7</v>
      </c>
      <c r="D135" s="7">
        <v>0.4</v>
      </c>
      <c r="E135" s="7">
        <v>0.9</v>
      </c>
      <c r="F135" s="7">
        <v>0.5</v>
      </c>
      <c r="G135" s="8"/>
    </row>
    <row r="136" spans="1:7" hidden="1" outlineLevel="1">
      <c r="A136" s="222"/>
      <c r="B136" s="7" t="s">
        <v>128</v>
      </c>
      <c r="C136" s="7">
        <v>0.7</v>
      </c>
      <c r="D136" s="7">
        <v>0.4</v>
      </c>
      <c r="E136" s="7">
        <v>0.9</v>
      </c>
      <c r="F136" s="7">
        <v>0.5</v>
      </c>
      <c r="G136" s="8" t="s">
        <v>104</v>
      </c>
    </row>
    <row r="137" spans="1:7" hidden="1" outlineLevel="1">
      <c r="A137" s="222"/>
      <c r="B137" s="7" t="s">
        <v>129</v>
      </c>
      <c r="C137" s="7">
        <v>0.7</v>
      </c>
      <c r="D137" s="7">
        <v>0.4</v>
      </c>
      <c r="E137" s="7">
        <v>0.9</v>
      </c>
      <c r="F137" s="7">
        <v>0.5</v>
      </c>
      <c r="G137" s="8" t="s">
        <v>104</v>
      </c>
    </row>
    <row r="138" spans="1:7" hidden="1" outlineLevel="1">
      <c r="A138" s="222"/>
      <c r="B138" s="7" t="s">
        <v>130</v>
      </c>
      <c r="C138" s="7">
        <v>0.7</v>
      </c>
      <c r="D138" s="7">
        <v>0.4</v>
      </c>
      <c r="E138" s="7">
        <v>0.9</v>
      </c>
      <c r="F138" s="7">
        <v>0.5</v>
      </c>
      <c r="G138" s="8"/>
    </row>
    <row r="139" spans="1:7" hidden="1" outlineLevel="1">
      <c r="A139" s="222"/>
      <c r="B139" s="7" t="s">
        <v>131</v>
      </c>
      <c r="C139" s="7">
        <v>0.7</v>
      </c>
      <c r="D139" s="7">
        <v>0.4</v>
      </c>
      <c r="E139" s="7">
        <v>0.9</v>
      </c>
      <c r="F139" s="7">
        <v>0.5</v>
      </c>
      <c r="G139" s="8"/>
    </row>
    <row r="140" spans="1:7" hidden="1" outlineLevel="1">
      <c r="A140" s="222"/>
      <c r="B140" s="7" t="s">
        <v>132</v>
      </c>
      <c r="C140" s="7">
        <v>0.7</v>
      </c>
      <c r="D140" s="7">
        <v>0.4</v>
      </c>
      <c r="E140" s="7">
        <v>0.9</v>
      </c>
      <c r="F140" s="7">
        <v>0.5</v>
      </c>
      <c r="G140" s="8"/>
    </row>
    <row r="141" spans="1:7" hidden="1" outlineLevel="1">
      <c r="A141" s="222"/>
      <c r="B141" s="7" t="s">
        <v>133</v>
      </c>
      <c r="C141" s="7">
        <v>0.7</v>
      </c>
      <c r="D141" s="7">
        <v>0.4</v>
      </c>
      <c r="E141" s="7">
        <v>0.9</v>
      </c>
      <c r="F141" s="7">
        <v>0.5</v>
      </c>
      <c r="G141" s="8" t="s">
        <v>104</v>
      </c>
    </row>
    <row r="142" spans="1:7" hidden="1" outlineLevel="1">
      <c r="A142" s="222"/>
      <c r="B142" s="7" t="s">
        <v>134</v>
      </c>
      <c r="C142" s="7">
        <v>0.8</v>
      </c>
      <c r="D142" s="7">
        <v>0.45</v>
      </c>
      <c r="E142" s="7">
        <v>1</v>
      </c>
      <c r="F142" s="7">
        <v>0.55000000000000004</v>
      </c>
      <c r="G142" s="8" t="s">
        <v>104</v>
      </c>
    </row>
    <row r="143" spans="1:7" hidden="1" outlineLevel="1">
      <c r="A143" s="222"/>
      <c r="B143" s="7" t="s">
        <v>135</v>
      </c>
      <c r="C143" s="7">
        <v>0.7</v>
      </c>
      <c r="D143" s="7">
        <v>0.4</v>
      </c>
      <c r="E143" s="7">
        <v>0.9</v>
      </c>
      <c r="F143" s="7">
        <v>0.5</v>
      </c>
      <c r="G143" s="8"/>
    </row>
    <row r="144" spans="1:7" hidden="1" outlineLevel="1">
      <c r="A144" s="222"/>
      <c r="B144" s="7" t="s">
        <v>136</v>
      </c>
      <c r="C144" s="7">
        <v>0.7</v>
      </c>
      <c r="D144" s="7">
        <v>0.4</v>
      </c>
      <c r="E144" s="7">
        <v>0.9</v>
      </c>
      <c r="F144" s="7">
        <v>0.5</v>
      </c>
      <c r="G144" s="8"/>
    </row>
    <row r="145" spans="1:7" hidden="1" outlineLevel="1">
      <c r="A145" s="222"/>
      <c r="B145" s="7" t="s">
        <v>137</v>
      </c>
      <c r="C145" s="7">
        <v>0.7</v>
      </c>
      <c r="D145" s="7">
        <v>0.4</v>
      </c>
      <c r="E145" s="7">
        <v>0.9</v>
      </c>
      <c r="F145" s="7">
        <v>0.5</v>
      </c>
      <c r="G145" s="8"/>
    </row>
    <row r="146" spans="1:7" hidden="1" outlineLevel="1">
      <c r="A146" s="222"/>
      <c r="B146" s="7" t="s">
        <v>138</v>
      </c>
      <c r="C146" s="7">
        <v>0.7</v>
      </c>
      <c r="D146" s="7">
        <v>0.4</v>
      </c>
      <c r="E146" s="7">
        <v>0.9</v>
      </c>
      <c r="F146" s="7">
        <v>0.5</v>
      </c>
      <c r="G146" s="8"/>
    </row>
    <row r="147" spans="1:7" hidden="1" outlineLevel="1">
      <c r="A147" s="222"/>
      <c r="B147" s="7" t="s">
        <v>139</v>
      </c>
      <c r="C147" s="7">
        <v>0.7</v>
      </c>
      <c r="D147" s="7">
        <v>0.4</v>
      </c>
      <c r="E147" s="7">
        <v>0.9</v>
      </c>
      <c r="F147" s="7">
        <v>0.5</v>
      </c>
      <c r="G147" s="8"/>
    </row>
    <row r="148" spans="1:7" hidden="1" outlineLevel="1">
      <c r="A148" s="222"/>
      <c r="B148" s="7" t="s">
        <v>140</v>
      </c>
      <c r="C148" s="7">
        <v>0.7</v>
      </c>
      <c r="D148" s="7">
        <v>0.4</v>
      </c>
      <c r="E148" s="7">
        <v>0.9</v>
      </c>
      <c r="F148" s="7">
        <v>0.5</v>
      </c>
      <c r="G148" s="8"/>
    </row>
    <row r="149" spans="1:7" hidden="1" outlineLevel="1">
      <c r="A149" s="222"/>
      <c r="B149" s="7" t="s">
        <v>141</v>
      </c>
      <c r="C149" s="7">
        <v>0.7</v>
      </c>
      <c r="D149" s="7">
        <v>0.4</v>
      </c>
      <c r="E149" s="7">
        <v>0.9</v>
      </c>
      <c r="F149" s="7">
        <v>0.5</v>
      </c>
      <c r="G149" s="8"/>
    </row>
    <row r="150" spans="1:7" hidden="1" outlineLevel="1">
      <c r="A150" s="222"/>
      <c r="B150" s="7" t="s">
        <v>142</v>
      </c>
      <c r="C150" s="7">
        <v>0.7</v>
      </c>
      <c r="D150" s="7">
        <v>0.4</v>
      </c>
      <c r="E150" s="7">
        <v>0.9</v>
      </c>
      <c r="F150" s="7">
        <v>0.5</v>
      </c>
      <c r="G150" s="8"/>
    </row>
    <row r="151" spans="1:7" s="40" customFormat="1" ht="18.75" customHeight="1" collapsed="1">
      <c r="A151" s="9" t="s">
        <v>460</v>
      </c>
      <c r="B151" s="9"/>
      <c r="C151" s="10"/>
      <c r="D151" s="10"/>
      <c r="E151" s="10"/>
      <c r="F151" s="10"/>
      <c r="G151" s="11"/>
    </row>
    <row r="152" spans="1:7" hidden="1" outlineLevel="1">
      <c r="A152" s="222" t="s">
        <v>461</v>
      </c>
      <c r="B152" s="7" t="s">
        <v>143</v>
      </c>
      <c r="C152" s="7">
        <v>0.8</v>
      </c>
      <c r="D152" s="7">
        <v>0.45</v>
      </c>
      <c r="E152" s="7">
        <v>1</v>
      </c>
      <c r="F152" s="7">
        <v>0.55000000000000004</v>
      </c>
      <c r="G152" s="8" t="s">
        <v>104</v>
      </c>
    </row>
    <row r="153" spans="1:7" hidden="1" outlineLevel="1">
      <c r="A153" s="222"/>
      <c r="B153" s="7" t="s">
        <v>144</v>
      </c>
      <c r="C153" s="7">
        <v>0.7</v>
      </c>
      <c r="D153" s="7">
        <v>0.4</v>
      </c>
      <c r="E153" s="7">
        <v>0.9</v>
      </c>
      <c r="F153" s="7">
        <v>0.5</v>
      </c>
      <c r="G153" s="8"/>
    </row>
    <row r="154" spans="1:7" hidden="1" outlineLevel="1">
      <c r="A154" s="222"/>
      <c r="B154" s="7" t="s">
        <v>145</v>
      </c>
      <c r="C154" s="7">
        <v>0.8</v>
      </c>
      <c r="D154" s="7">
        <v>0.45</v>
      </c>
      <c r="E154" s="7">
        <v>1</v>
      </c>
      <c r="F154" s="7">
        <v>0.55000000000000004</v>
      </c>
      <c r="G154" s="8" t="s">
        <v>104</v>
      </c>
    </row>
    <row r="155" spans="1:7" hidden="1" outlineLevel="1">
      <c r="A155" s="222"/>
      <c r="B155" s="7" t="s">
        <v>146</v>
      </c>
      <c r="C155" s="7">
        <v>0.8</v>
      </c>
      <c r="D155" s="7">
        <v>0.45</v>
      </c>
      <c r="E155" s="7">
        <v>1</v>
      </c>
      <c r="F155" s="7">
        <v>0.55000000000000004</v>
      </c>
      <c r="G155" s="8" t="s">
        <v>147</v>
      </c>
    </row>
    <row r="156" spans="1:7" hidden="1" outlineLevel="1">
      <c r="A156" s="222"/>
      <c r="B156" s="7" t="s">
        <v>148</v>
      </c>
      <c r="C156" s="7">
        <v>0.8</v>
      </c>
      <c r="D156" s="7">
        <v>0.45</v>
      </c>
      <c r="E156" s="7">
        <v>1</v>
      </c>
      <c r="F156" s="7">
        <v>0.5</v>
      </c>
      <c r="G156" s="8" t="s">
        <v>104</v>
      </c>
    </row>
    <row r="157" spans="1:7" hidden="1" outlineLevel="1">
      <c r="A157" s="222"/>
      <c r="B157" s="7" t="s">
        <v>149</v>
      </c>
      <c r="C157" s="7">
        <v>0.8</v>
      </c>
      <c r="D157" s="7">
        <v>0.45</v>
      </c>
      <c r="E157" s="7">
        <v>1</v>
      </c>
      <c r="F157" s="7">
        <v>0.55000000000000004</v>
      </c>
      <c r="G157" s="8" t="s">
        <v>104</v>
      </c>
    </row>
    <row r="158" spans="1:7" hidden="1" outlineLevel="1">
      <c r="A158" s="222"/>
      <c r="B158" s="7" t="s">
        <v>150</v>
      </c>
      <c r="C158" s="7">
        <v>0.8</v>
      </c>
      <c r="D158" s="7">
        <v>0.45</v>
      </c>
      <c r="E158" s="7">
        <v>1</v>
      </c>
      <c r="F158" s="7">
        <v>0.5</v>
      </c>
      <c r="G158" s="8" t="s">
        <v>147</v>
      </c>
    </row>
    <row r="159" spans="1:7" hidden="1" outlineLevel="1">
      <c r="A159" s="222"/>
      <c r="B159" s="7" t="s">
        <v>151</v>
      </c>
      <c r="C159" s="7">
        <v>0.8</v>
      </c>
      <c r="D159" s="7">
        <v>0.45</v>
      </c>
      <c r="E159" s="7">
        <v>1</v>
      </c>
      <c r="F159" s="7">
        <v>0.55000000000000004</v>
      </c>
      <c r="G159" s="8" t="s">
        <v>104</v>
      </c>
    </row>
    <row r="160" spans="1:7" hidden="1" outlineLevel="1">
      <c r="A160" s="222"/>
      <c r="B160" s="7" t="s">
        <v>152</v>
      </c>
      <c r="C160" s="7">
        <v>0.7</v>
      </c>
      <c r="D160" s="7">
        <v>0.4</v>
      </c>
      <c r="E160" s="7">
        <v>0.9</v>
      </c>
      <c r="F160" s="7">
        <v>0.5</v>
      </c>
      <c r="G160" s="8"/>
    </row>
    <row r="161" spans="1:7" hidden="1" outlineLevel="1">
      <c r="A161" s="222"/>
      <c r="B161" s="7" t="s">
        <v>153</v>
      </c>
      <c r="C161" s="7">
        <v>0.7</v>
      </c>
      <c r="D161" s="7">
        <v>0.4</v>
      </c>
      <c r="E161" s="7">
        <v>0.9</v>
      </c>
      <c r="F161" s="7">
        <v>0.5</v>
      </c>
      <c r="G161" s="8" t="s">
        <v>104</v>
      </c>
    </row>
    <row r="162" spans="1:7" hidden="1" outlineLevel="1">
      <c r="A162" s="222"/>
      <c r="B162" s="7" t="s">
        <v>154</v>
      </c>
      <c r="C162" s="7">
        <v>0.7</v>
      </c>
      <c r="D162" s="7">
        <v>0.4</v>
      </c>
      <c r="E162" s="7">
        <v>0.9</v>
      </c>
      <c r="F162" s="7">
        <v>0.5</v>
      </c>
      <c r="G162" s="8" t="s">
        <v>104</v>
      </c>
    </row>
    <row r="163" spans="1:7" hidden="1" outlineLevel="1">
      <c r="A163" s="222"/>
      <c r="B163" s="7" t="s">
        <v>155</v>
      </c>
      <c r="C163" s="7">
        <v>0.7</v>
      </c>
      <c r="D163" s="7">
        <v>0.4</v>
      </c>
      <c r="E163" s="7">
        <v>0.9</v>
      </c>
      <c r="F163" s="7">
        <v>0.5</v>
      </c>
      <c r="G163" s="8"/>
    </row>
    <row r="164" spans="1:7" hidden="1" outlineLevel="1">
      <c r="A164" s="222"/>
      <c r="B164" s="7" t="s">
        <v>156</v>
      </c>
      <c r="C164" s="7">
        <v>0.7</v>
      </c>
      <c r="D164" s="7">
        <v>0.4</v>
      </c>
      <c r="E164" s="7">
        <v>0.9</v>
      </c>
      <c r="F164" s="7">
        <v>0.5</v>
      </c>
      <c r="G164" s="8"/>
    </row>
    <row r="165" spans="1:7" s="40" customFormat="1" ht="18.75" customHeight="1" collapsed="1">
      <c r="A165" s="9" t="s">
        <v>462</v>
      </c>
      <c r="B165" s="9"/>
      <c r="C165" s="10"/>
      <c r="D165" s="10"/>
      <c r="E165" s="10"/>
      <c r="F165" s="10"/>
      <c r="G165" s="11"/>
    </row>
    <row r="166" spans="1:7" hidden="1" outlineLevel="1">
      <c r="A166" s="222" t="s">
        <v>463</v>
      </c>
      <c r="B166" s="7" t="s">
        <v>157</v>
      </c>
      <c r="C166" s="7">
        <v>0.8</v>
      </c>
      <c r="D166" s="7">
        <v>0.45</v>
      </c>
      <c r="E166" s="7">
        <v>1</v>
      </c>
      <c r="F166" s="7">
        <v>0.55000000000000004</v>
      </c>
      <c r="G166" s="8" t="s">
        <v>147</v>
      </c>
    </row>
    <row r="167" spans="1:7" hidden="1" outlineLevel="1">
      <c r="A167" s="222"/>
      <c r="B167" s="7" t="s">
        <v>158</v>
      </c>
      <c r="C167" s="7">
        <v>0.7</v>
      </c>
      <c r="D167" s="7">
        <v>0.4</v>
      </c>
      <c r="E167" s="7">
        <v>0.9</v>
      </c>
      <c r="F167" s="7">
        <v>0.5</v>
      </c>
      <c r="G167" s="8" t="s">
        <v>159</v>
      </c>
    </row>
    <row r="168" spans="1:7" hidden="1" outlineLevel="1">
      <c r="A168" s="222"/>
      <c r="B168" s="7" t="s">
        <v>160</v>
      </c>
      <c r="C168" s="7">
        <v>0.7</v>
      </c>
      <c r="D168" s="7">
        <v>0.4</v>
      </c>
      <c r="E168" s="7">
        <v>0.9</v>
      </c>
      <c r="F168" s="7">
        <v>0.5</v>
      </c>
      <c r="G168" s="8"/>
    </row>
    <row r="169" spans="1:7" hidden="1" outlineLevel="1">
      <c r="A169" s="222"/>
      <c r="B169" s="7" t="s">
        <v>161</v>
      </c>
      <c r="C169" s="7">
        <v>0.7</v>
      </c>
      <c r="D169" s="7">
        <v>0.4</v>
      </c>
      <c r="E169" s="7">
        <v>0.9</v>
      </c>
      <c r="F169" s="7">
        <v>0.5</v>
      </c>
      <c r="G169" s="8"/>
    </row>
    <row r="170" spans="1:7" hidden="1" outlineLevel="1">
      <c r="A170" s="222"/>
      <c r="B170" s="7" t="s">
        <v>162</v>
      </c>
      <c r="C170" s="7">
        <v>0.7</v>
      </c>
      <c r="D170" s="7">
        <v>0.4</v>
      </c>
      <c r="E170" s="7">
        <v>0.9</v>
      </c>
      <c r="F170" s="7">
        <v>0.5</v>
      </c>
      <c r="G170" s="8"/>
    </row>
    <row r="171" spans="1:7" hidden="1" outlineLevel="1">
      <c r="A171" s="222"/>
      <c r="B171" s="7" t="s">
        <v>163</v>
      </c>
      <c r="C171" s="7">
        <v>0.7</v>
      </c>
      <c r="D171" s="7">
        <v>0.4</v>
      </c>
      <c r="E171" s="7">
        <v>0.9</v>
      </c>
      <c r="F171" s="7">
        <v>0.5</v>
      </c>
      <c r="G171" s="8"/>
    </row>
    <row r="172" spans="1:7" hidden="1" outlineLevel="1">
      <c r="A172" s="222"/>
      <c r="B172" s="7" t="s">
        <v>164</v>
      </c>
      <c r="C172" s="7">
        <v>0.8</v>
      </c>
      <c r="D172" s="7">
        <v>0.45</v>
      </c>
      <c r="E172" s="7">
        <v>1</v>
      </c>
      <c r="F172" s="7">
        <v>0.55000000000000004</v>
      </c>
      <c r="G172" s="8" t="s">
        <v>165</v>
      </c>
    </row>
    <row r="173" spans="1:7" hidden="1" outlineLevel="1">
      <c r="A173" s="222"/>
      <c r="B173" s="7" t="s">
        <v>166</v>
      </c>
      <c r="C173" s="7">
        <v>0.7</v>
      </c>
      <c r="D173" s="7">
        <v>0.4</v>
      </c>
      <c r="E173" s="7">
        <v>0.9</v>
      </c>
      <c r="F173" s="7">
        <v>0.5</v>
      </c>
      <c r="G173" s="8" t="s">
        <v>159</v>
      </c>
    </row>
    <row r="174" spans="1:7" hidden="1" outlineLevel="1">
      <c r="A174" s="222"/>
      <c r="B174" s="7" t="s">
        <v>167</v>
      </c>
      <c r="C174" s="7">
        <v>0.7</v>
      </c>
      <c r="D174" s="7">
        <v>0.4</v>
      </c>
      <c r="E174" s="7">
        <v>0.9</v>
      </c>
      <c r="F174" s="7">
        <v>0.5</v>
      </c>
      <c r="G174" s="8"/>
    </row>
    <row r="175" spans="1:7" hidden="1" outlineLevel="1">
      <c r="A175" s="222"/>
      <c r="B175" s="7" t="s">
        <v>168</v>
      </c>
      <c r="C175" s="7">
        <v>0.8</v>
      </c>
      <c r="D175" s="7">
        <v>0.45</v>
      </c>
      <c r="E175" s="7">
        <v>1</v>
      </c>
      <c r="F175" s="7">
        <v>0.55000000000000004</v>
      </c>
      <c r="G175" s="8" t="s">
        <v>147</v>
      </c>
    </row>
    <row r="176" spans="1:7" hidden="1" outlineLevel="1">
      <c r="A176" s="222"/>
      <c r="B176" s="7" t="s">
        <v>169</v>
      </c>
      <c r="C176" s="7">
        <v>0.7</v>
      </c>
      <c r="D176" s="7">
        <v>0.4</v>
      </c>
      <c r="E176" s="7">
        <v>0.9</v>
      </c>
      <c r="F176" s="7">
        <v>0.5</v>
      </c>
      <c r="G176" s="8"/>
    </row>
    <row r="177" spans="1:7" hidden="1" outlineLevel="1">
      <c r="A177" s="222"/>
      <c r="B177" s="7" t="s">
        <v>170</v>
      </c>
      <c r="C177" s="7">
        <v>0.7</v>
      </c>
      <c r="D177" s="7">
        <v>0.4</v>
      </c>
      <c r="E177" s="7">
        <v>0.9</v>
      </c>
      <c r="F177" s="7">
        <v>0.5</v>
      </c>
      <c r="G177" s="8"/>
    </row>
    <row r="178" spans="1:7" hidden="1" outlineLevel="1">
      <c r="A178" s="222"/>
      <c r="B178" s="7" t="s">
        <v>171</v>
      </c>
      <c r="C178" s="7">
        <v>0.7</v>
      </c>
      <c r="D178" s="7">
        <v>0.4</v>
      </c>
      <c r="E178" s="7">
        <v>0.9</v>
      </c>
      <c r="F178" s="7">
        <v>0.5</v>
      </c>
      <c r="G178" s="8"/>
    </row>
    <row r="179" spans="1:7" hidden="1" outlineLevel="1">
      <c r="A179" s="222"/>
      <c r="B179" s="7" t="s">
        <v>172</v>
      </c>
      <c r="C179" s="7">
        <v>0.7</v>
      </c>
      <c r="D179" s="7">
        <v>0.4</v>
      </c>
      <c r="E179" s="7">
        <v>0.9</v>
      </c>
      <c r="F179" s="7">
        <v>0.5</v>
      </c>
      <c r="G179" s="8"/>
    </row>
    <row r="180" spans="1:7" hidden="1" outlineLevel="1">
      <c r="A180" s="222"/>
      <c r="B180" s="7" t="s">
        <v>173</v>
      </c>
      <c r="C180" s="7">
        <v>0.7</v>
      </c>
      <c r="D180" s="7">
        <v>0.4</v>
      </c>
      <c r="E180" s="7">
        <v>0.9</v>
      </c>
      <c r="F180" s="7">
        <v>0.5</v>
      </c>
      <c r="G180" s="8"/>
    </row>
    <row r="181" spans="1:7" hidden="1" outlineLevel="1">
      <c r="A181" s="222"/>
      <c r="B181" s="7" t="s">
        <v>174</v>
      </c>
      <c r="C181" s="7">
        <v>0.7</v>
      </c>
      <c r="D181" s="7">
        <v>0.4</v>
      </c>
      <c r="E181" s="7">
        <v>0.9</v>
      </c>
      <c r="F181" s="7">
        <v>0.5</v>
      </c>
      <c r="G181" s="8"/>
    </row>
    <row r="182" spans="1:7" hidden="1" outlineLevel="1">
      <c r="A182" s="222"/>
      <c r="B182" s="7" t="s">
        <v>175</v>
      </c>
      <c r="C182" s="7">
        <v>0.7</v>
      </c>
      <c r="D182" s="7">
        <v>0.4</v>
      </c>
      <c r="E182" s="7">
        <v>0.9</v>
      </c>
      <c r="F182" s="7">
        <v>0.5</v>
      </c>
      <c r="G182" s="8"/>
    </row>
    <row r="183" spans="1:7" hidden="1" outlineLevel="1">
      <c r="A183" s="222"/>
      <c r="B183" s="7" t="s">
        <v>176</v>
      </c>
      <c r="C183" s="7">
        <v>0.7</v>
      </c>
      <c r="D183" s="7">
        <v>0.4</v>
      </c>
      <c r="E183" s="7">
        <v>0.9</v>
      </c>
      <c r="F183" s="7">
        <v>0.5</v>
      </c>
      <c r="G183" s="8"/>
    </row>
    <row r="184" spans="1:7" hidden="1" outlineLevel="1">
      <c r="A184" s="222"/>
      <c r="B184" s="7" t="s">
        <v>177</v>
      </c>
      <c r="C184" s="7">
        <v>0.7</v>
      </c>
      <c r="D184" s="7">
        <v>0.4</v>
      </c>
      <c r="E184" s="7">
        <v>0.9</v>
      </c>
      <c r="F184" s="7">
        <v>0.5</v>
      </c>
      <c r="G184" s="8"/>
    </row>
    <row r="185" spans="1:7" hidden="1" outlineLevel="1">
      <c r="A185" s="222"/>
      <c r="B185" s="7" t="s">
        <v>178</v>
      </c>
      <c r="C185" s="7">
        <v>0.7</v>
      </c>
      <c r="D185" s="7">
        <v>0.4</v>
      </c>
      <c r="E185" s="7">
        <v>0.9</v>
      </c>
      <c r="F185" s="7">
        <v>0.5</v>
      </c>
      <c r="G185" s="8"/>
    </row>
    <row r="186" spans="1:7" s="40" customFormat="1" ht="18.75" customHeight="1" collapsed="1">
      <c r="A186" s="9" t="s">
        <v>464</v>
      </c>
      <c r="B186" s="9"/>
      <c r="C186" s="10"/>
      <c r="D186" s="10"/>
      <c r="E186" s="10"/>
      <c r="F186" s="10"/>
      <c r="G186" s="11"/>
    </row>
    <row r="187" spans="1:7" hidden="1" outlineLevel="1">
      <c r="A187" s="222" t="s">
        <v>465</v>
      </c>
      <c r="B187" s="7" t="s">
        <v>179</v>
      </c>
      <c r="C187" s="7">
        <v>0.7</v>
      </c>
      <c r="D187" s="7">
        <v>0.4</v>
      </c>
      <c r="E187" s="7">
        <v>0.9</v>
      </c>
      <c r="F187" s="7">
        <v>0.5</v>
      </c>
      <c r="G187" s="8" t="s">
        <v>159</v>
      </c>
    </row>
    <row r="188" spans="1:7" hidden="1" outlineLevel="1">
      <c r="A188" s="222"/>
      <c r="B188" s="7" t="s">
        <v>180</v>
      </c>
      <c r="C188" s="7">
        <v>0.7</v>
      </c>
      <c r="D188" s="7">
        <v>0.4</v>
      </c>
      <c r="E188" s="7">
        <v>0.9</v>
      </c>
      <c r="F188" s="7">
        <v>0.5</v>
      </c>
      <c r="G188" s="8"/>
    </row>
    <row r="189" spans="1:7" hidden="1" outlineLevel="1">
      <c r="A189" s="222"/>
      <c r="B189" s="7" t="s">
        <v>181</v>
      </c>
      <c r="C189" s="7">
        <v>0.7</v>
      </c>
      <c r="D189" s="7">
        <v>0.4</v>
      </c>
      <c r="E189" s="7">
        <v>0.9</v>
      </c>
      <c r="F189" s="7">
        <v>0.5</v>
      </c>
      <c r="G189" s="8"/>
    </row>
    <row r="190" spans="1:7" hidden="1" outlineLevel="1">
      <c r="A190" s="222"/>
      <c r="B190" s="7" t="s">
        <v>182</v>
      </c>
      <c r="C190" s="7">
        <v>0.8</v>
      </c>
      <c r="D190" s="7">
        <v>0.45</v>
      </c>
      <c r="E190" s="7">
        <v>1</v>
      </c>
      <c r="F190" s="7">
        <v>0.55000000000000004</v>
      </c>
      <c r="G190" s="8" t="s">
        <v>183</v>
      </c>
    </row>
    <row r="191" spans="1:7" hidden="1" outlineLevel="1">
      <c r="A191" s="222"/>
      <c r="B191" s="7" t="s">
        <v>184</v>
      </c>
      <c r="C191" s="7">
        <v>0.8</v>
      </c>
      <c r="D191" s="7">
        <v>0.45</v>
      </c>
      <c r="E191" s="7">
        <v>1</v>
      </c>
      <c r="F191" s="7">
        <v>0.55000000000000004</v>
      </c>
      <c r="G191" s="8" t="s">
        <v>159</v>
      </c>
    </row>
    <row r="192" spans="1:7" hidden="1" outlineLevel="1">
      <c r="A192" s="222"/>
      <c r="B192" s="7" t="s">
        <v>185</v>
      </c>
      <c r="C192" s="7">
        <v>0.8</v>
      </c>
      <c r="D192" s="7">
        <v>0.45</v>
      </c>
      <c r="E192" s="7">
        <v>1</v>
      </c>
      <c r="F192" s="7">
        <v>0.55000000000000004</v>
      </c>
      <c r="G192" s="8" t="s">
        <v>159</v>
      </c>
    </row>
    <row r="193" spans="1:7" hidden="1" outlineLevel="1">
      <c r="A193" s="222"/>
      <c r="B193" s="7" t="s">
        <v>186</v>
      </c>
      <c r="C193" s="7">
        <v>0.7</v>
      </c>
      <c r="D193" s="7">
        <v>0.4</v>
      </c>
      <c r="E193" s="7">
        <v>0.9</v>
      </c>
      <c r="F193" s="7">
        <v>0.5</v>
      </c>
      <c r="G193" s="8" t="s">
        <v>159</v>
      </c>
    </row>
    <row r="194" spans="1:7" hidden="1" outlineLevel="1">
      <c r="A194" s="222"/>
      <c r="B194" s="7" t="s">
        <v>187</v>
      </c>
      <c r="C194" s="7">
        <v>0.7</v>
      </c>
      <c r="D194" s="7">
        <v>0.4</v>
      </c>
      <c r="E194" s="7">
        <v>0.9</v>
      </c>
      <c r="F194" s="7">
        <v>0.5</v>
      </c>
      <c r="G194" s="8"/>
    </row>
    <row r="195" spans="1:7" hidden="1" outlineLevel="1">
      <c r="A195" s="222"/>
      <c r="B195" s="7" t="s">
        <v>188</v>
      </c>
      <c r="C195" s="7">
        <v>0.7</v>
      </c>
      <c r="D195" s="7">
        <v>0.4</v>
      </c>
      <c r="E195" s="7">
        <v>0.9</v>
      </c>
      <c r="F195" s="7">
        <v>0.5</v>
      </c>
      <c r="G195" s="8"/>
    </row>
    <row r="196" spans="1:7" hidden="1" outlineLevel="1">
      <c r="A196" s="222"/>
      <c r="B196" s="7" t="s">
        <v>189</v>
      </c>
      <c r="C196" s="7">
        <v>0.7</v>
      </c>
      <c r="D196" s="7">
        <v>0.4</v>
      </c>
      <c r="E196" s="7">
        <v>0.9</v>
      </c>
      <c r="F196" s="7">
        <v>0.5</v>
      </c>
      <c r="G196" s="8"/>
    </row>
    <row r="197" spans="1:7" hidden="1" outlineLevel="1">
      <c r="A197" s="222"/>
      <c r="B197" s="7" t="s">
        <v>190</v>
      </c>
      <c r="C197" s="7">
        <v>0.7</v>
      </c>
      <c r="D197" s="7">
        <v>0.4</v>
      </c>
      <c r="E197" s="7">
        <v>0.9</v>
      </c>
      <c r="F197" s="7">
        <v>0.5</v>
      </c>
      <c r="G197" s="8"/>
    </row>
    <row r="198" spans="1:7" hidden="1" outlineLevel="1">
      <c r="A198" s="222"/>
      <c r="B198" s="7" t="s">
        <v>191</v>
      </c>
      <c r="C198" s="7">
        <v>0.7</v>
      </c>
      <c r="D198" s="7">
        <v>0.4</v>
      </c>
      <c r="E198" s="7">
        <v>0.9</v>
      </c>
      <c r="F198" s="7">
        <v>0.5</v>
      </c>
      <c r="G198" s="8" t="s">
        <v>192</v>
      </c>
    </row>
    <row r="199" spans="1:7" hidden="1" outlineLevel="1">
      <c r="A199" s="222"/>
      <c r="B199" s="7" t="s">
        <v>193</v>
      </c>
      <c r="C199" s="7">
        <v>0.8</v>
      </c>
      <c r="D199" s="7">
        <v>0.45</v>
      </c>
      <c r="E199" s="7">
        <v>1</v>
      </c>
      <c r="F199" s="7">
        <v>0.55000000000000004</v>
      </c>
      <c r="G199" s="8" t="s">
        <v>192</v>
      </c>
    </row>
    <row r="200" spans="1:7" hidden="1" outlineLevel="1">
      <c r="A200" s="222"/>
      <c r="B200" s="7" t="s">
        <v>194</v>
      </c>
      <c r="C200" s="7">
        <v>0.8</v>
      </c>
      <c r="D200" s="7">
        <v>0.45</v>
      </c>
      <c r="E200" s="7">
        <v>1</v>
      </c>
      <c r="F200" s="7">
        <v>0.55000000000000004</v>
      </c>
      <c r="G200" s="8" t="s">
        <v>195</v>
      </c>
    </row>
    <row r="201" spans="1:7" hidden="1" outlineLevel="1">
      <c r="A201" s="222"/>
      <c r="B201" s="7" t="s">
        <v>196</v>
      </c>
      <c r="C201" s="7">
        <v>0.8</v>
      </c>
      <c r="D201" s="7">
        <v>0.45</v>
      </c>
      <c r="E201" s="7">
        <v>1</v>
      </c>
      <c r="F201" s="7">
        <v>0.55000000000000004</v>
      </c>
      <c r="G201" s="8" t="s">
        <v>195</v>
      </c>
    </row>
    <row r="202" spans="1:7" hidden="1" outlineLevel="1">
      <c r="A202" s="222"/>
      <c r="B202" s="7" t="s">
        <v>197</v>
      </c>
      <c r="C202" s="7">
        <v>0.8</v>
      </c>
      <c r="D202" s="7">
        <v>0.45</v>
      </c>
      <c r="E202" s="7">
        <v>1</v>
      </c>
      <c r="F202" s="7">
        <v>0.55000000000000004</v>
      </c>
      <c r="G202" s="8" t="s">
        <v>192</v>
      </c>
    </row>
    <row r="203" spans="1:7" hidden="1" outlineLevel="1">
      <c r="A203" s="222"/>
      <c r="B203" s="7" t="s">
        <v>198</v>
      </c>
      <c r="C203" s="7">
        <v>0.8</v>
      </c>
      <c r="D203" s="7">
        <v>0.45</v>
      </c>
      <c r="E203" s="7">
        <v>1</v>
      </c>
      <c r="F203" s="7">
        <v>0.55000000000000004</v>
      </c>
      <c r="G203" s="8" t="s">
        <v>192</v>
      </c>
    </row>
    <row r="204" spans="1:7" hidden="1" outlineLevel="1">
      <c r="A204" s="222"/>
      <c r="B204" s="7" t="s">
        <v>199</v>
      </c>
      <c r="C204" s="7">
        <v>0.7</v>
      </c>
      <c r="D204" s="7">
        <v>0.4</v>
      </c>
      <c r="E204" s="7">
        <v>0.9</v>
      </c>
      <c r="F204" s="7">
        <v>0.5</v>
      </c>
      <c r="G204" s="8" t="s">
        <v>192</v>
      </c>
    </row>
    <row r="205" spans="1:7" s="40" customFormat="1" ht="18.75" customHeight="1" collapsed="1">
      <c r="A205" s="9" t="s">
        <v>466</v>
      </c>
      <c r="B205" s="9"/>
      <c r="C205" s="10"/>
      <c r="D205" s="10"/>
      <c r="E205" s="10"/>
      <c r="F205" s="10"/>
      <c r="G205" s="11"/>
    </row>
    <row r="206" spans="1:7" hidden="1" outlineLevel="1">
      <c r="A206" s="222" t="s">
        <v>467</v>
      </c>
      <c r="B206" s="7" t="s">
        <v>64</v>
      </c>
      <c r="C206" s="7">
        <v>0.8</v>
      </c>
      <c r="D206" s="7">
        <v>0.45</v>
      </c>
      <c r="E206" s="7">
        <v>1</v>
      </c>
      <c r="F206" s="7">
        <v>0.55000000000000004</v>
      </c>
      <c r="G206" s="8" t="s">
        <v>159</v>
      </c>
    </row>
    <row r="207" spans="1:7" hidden="1" outlineLevel="1">
      <c r="A207" s="222"/>
      <c r="B207" s="7" t="s">
        <v>113</v>
      </c>
      <c r="C207" s="7">
        <v>0.7</v>
      </c>
      <c r="D207" s="7">
        <v>0.4</v>
      </c>
      <c r="E207" s="7">
        <v>0.9</v>
      </c>
      <c r="F207" s="7">
        <v>0.5</v>
      </c>
      <c r="G207" s="8" t="s">
        <v>159</v>
      </c>
    </row>
    <row r="208" spans="1:7" s="40" customFormat="1" ht="18.75" customHeight="1" collapsed="1">
      <c r="A208" s="9" t="s">
        <v>468</v>
      </c>
      <c r="B208" s="9"/>
      <c r="C208" s="10"/>
      <c r="D208" s="10"/>
      <c r="E208" s="10"/>
      <c r="F208" s="10"/>
      <c r="G208" s="11"/>
    </row>
    <row r="209" spans="1:7" hidden="1" outlineLevel="1">
      <c r="A209" s="222" t="s">
        <v>469</v>
      </c>
      <c r="B209" s="7" t="s">
        <v>200</v>
      </c>
      <c r="C209" s="7">
        <v>0.7</v>
      </c>
      <c r="D209" s="7">
        <v>0.4</v>
      </c>
      <c r="E209" s="7">
        <v>0.9</v>
      </c>
      <c r="F209" s="7">
        <v>0.5</v>
      </c>
      <c r="G209" s="8"/>
    </row>
    <row r="210" spans="1:7" hidden="1" outlineLevel="1">
      <c r="A210" s="222"/>
      <c r="B210" s="7" t="s">
        <v>201</v>
      </c>
      <c r="C210" s="7">
        <v>0.7</v>
      </c>
      <c r="D210" s="7">
        <v>0.4</v>
      </c>
      <c r="E210" s="7">
        <v>0.9</v>
      </c>
      <c r="F210" s="7">
        <v>0.5</v>
      </c>
      <c r="G210" s="8"/>
    </row>
    <row r="211" spans="1:7" hidden="1" outlineLevel="1">
      <c r="A211" s="222"/>
      <c r="B211" s="7" t="s">
        <v>202</v>
      </c>
      <c r="C211" s="7">
        <v>0.8</v>
      </c>
      <c r="D211" s="7">
        <v>0.45</v>
      </c>
      <c r="E211" s="7">
        <v>1</v>
      </c>
      <c r="F211" s="7">
        <v>0.55000000000000004</v>
      </c>
      <c r="G211" s="8" t="s">
        <v>192</v>
      </c>
    </row>
    <row r="212" spans="1:7" hidden="1" outlineLevel="1">
      <c r="A212" s="222"/>
      <c r="B212" s="7" t="s">
        <v>203</v>
      </c>
      <c r="C212" s="7">
        <v>0.7</v>
      </c>
      <c r="D212" s="7">
        <v>0.4</v>
      </c>
      <c r="E212" s="7">
        <v>0.9</v>
      </c>
      <c r="F212" s="7">
        <v>0.5</v>
      </c>
      <c r="G212" s="8"/>
    </row>
    <row r="213" spans="1:7" hidden="1" outlineLevel="1">
      <c r="A213" s="222"/>
      <c r="B213" s="7" t="s">
        <v>204</v>
      </c>
      <c r="C213" s="7">
        <v>0.7</v>
      </c>
      <c r="D213" s="7">
        <v>0.4</v>
      </c>
      <c r="E213" s="7">
        <v>0.9</v>
      </c>
      <c r="F213" s="7">
        <v>0.5</v>
      </c>
      <c r="G213" s="8"/>
    </row>
    <row r="214" spans="1:7" hidden="1" outlineLevel="1">
      <c r="A214" s="222"/>
      <c r="B214" s="7" t="s">
        <v>205</v>
      </c>
      <c r="C214" s="7">
        <v>0.7</v>
      </c>
      <c r="D214" s="7">
        <v>0.4</v>
      </c>
      <c r="E214" s="7">
        <v>0.9</v>
      </c>
      <c r="F214" s="7">
        <v>0.5</v>
      </c>
      <c r="G214" s="8" t="s">
        <v>192</v>
      </c>
    </row>
    <row r="215" spans="1:7" hidden="1" outlineLevel="1">
      <c r="A215" s="222"/>
      <c r="B215" s="7" t="s">
        <v>206</v>
      </c>
      <c r="C215" s="7">
        <v>0.7</v>
      </c>
      <c r="D215" s="7">
        <v>0.4</v>
      </c>
      <c r="E215" s="7">
        <v>0.9</v>
      </c>
      <c r="F215" s="7">
        <v>0.5</v>
      </c>
      <c r="G215" s="8"/>
    </row>
    <row r="216" spans="1:7" hidden="1" outlineLevel="1">
      <c r="A216" s="222"/>
      <c r="B216" s="7" t="s">
        <v>207</v>
      </c>
      <c r="C216" s="7">
        <v>0.7</v>
      </c>
      <c r="D216" s="7">
        <v>0.4</v>
      </c>
      <c r="E216" s="7">
        <v>0.9</v>
      </c>
      <c r="F216" s="7">
        <v>0.5</v>
      </c>
      <c r="G216" s="8"/>
    </row>
    <row r="217" spans="1:7" hidden="1" outlineLevel="1">
      <c r="A217" s="222"/>
      <c r="B217" s="7" t="s">
        <v>208</v>
      </c>
      <c r="C217" s="7">
        <v>0.7</v>
      </c>
      <c r="D217" s="7">
        <v>0.4</v>
      </c>
      <c r="E217" s="7">
        <v>0.9</v>
      </c>
      <c r="F217" s="7">
        <v>0.5</v>
      </c>
      <c r="G217" s="8"/>
    </row>
    <row r="218" spans="1:7" hidden="1" outlineLevel="1">
      <c r="A218" s="222"/>
      <c r="B218" s="7" t="s">
        <v>209</v>
      </c>
      <c r="C218" s="7">
        <v>0.7</v>
      </c>
      <c r="D218" s="7">
        <v>0.4</v>
      </c>
      <c r="E218" s="7">
        <v>0.9</v>
      </c>
      <c r="F218" s="7">
        <v>0.5</v>
      </c>
      <c r="G218" s="8"/>
    </row>
    <row r="219" spans="1:7" hidden="1" outlineLevel="1">
      <c r="A219" s="222"/>
      <c r="B219" s="7" t="s">
        <v>210</v>
      </c>
      <c r="C219" s="7">
        <v>0.7</v>
      </c>
      <c r="D219" s="7">
        <v>0.4</v>
      </c>
      <c r="E219" s="7">
        <v>0.9</v>
      </c>
      <c r="F219" s="7">
        <v>0.5</v>
      </c>
      <c r="G219" s="8" t="s">
        <v>211</v>
      </c>
    </row>
    <row r="220" spans="1:7" hidden="1" outlineLevel="1">
      <c r="A220" s="222"/>
      <c r="B220" s="7" t="s">
        <v>212</v>
      </c>
      <c r="C220" s="7">
        <v>0.7</v>
      </c>
      <c r="D220" s="7">
        <v>0.4</v>
      </c>
      <c r="E220" s="7">
        <v>0.9</v>
      </c>
      <c r="F220" s="7">
        <v>0.5</v>
      </c>
      <c r="G220" s="8"/>
    </row>
    <row r="221" spans="1:7" hidden="1" outlineLevel="1">
      <c r="A221" s="222"/>
      <c r="B221" s="7" t="s">
        <v>213</v>
      </c>
      <c r="C221" s="7">
        <v>0.7</v>
      </c>
      <c r="D221" s="7">
        <v>0.4</v>
      </c>
      <c r="E221" s="7">
        <v>0.9</v>
      </c>
      <c r="F221" s="7">
        <v>0.5</v>
      </c>
      <c r="G221" s="8"/>
    </row>
    <row r="222" spans="1:7" hidden="1" outlineLevel="1">
      <c r="A222" s="222"/>
      <c r="B222" s="7" t="s">
        <v>214</v>
      </c>
      <c r="C222" s="7">
        <v>0.7</v>
      </c>
      <c r="D222" s="7">
        <v>0.4</v>
      </c>
      <c r="E222" s="7">
        <v>0.9</v>
      </c>
      <c r="F222" s="7">
        <v>0.5</v>
      </c>
      <c r="G222" s="8"/>
    </row>
    <row r="223" spans="1:7" hidden="1" outlineLevel="1">
      <c r="A223" s="222"/>
      <c r="B223" s="7" t="s">
        <v>215</v>
      </c>
      <c r="C223" s="7">
        <v>0.7</v>
      </c>
      <c r="D223" s="7">
        <v>0.4</v>
      </c>
      <c r="E223" s="7">
        <v>0.9</v>
      </c>
      <c r="F223" s="7">
        <v>0.5</v>
      </c>
      <c r="G223" s="8"/>
    </row>
    <row r="224" spans="1:7" hidden="1" outlineLevel="1">
      <c r="A224" s="222"/>
      <c r="B224" s="7" t="s">
        <v>216</v>
      </c>
      <c r="C224" s="7">
        <v>0.7</v>
      </c>
      <c r="D224" s="7">
        <v>0.4</v>
      </c>
      <c r="E224" s="7">
        <v>0.9</v>
      </c>
      <c r="F224" s="7">
        <v>0.5</v>
      </c>
      <c r="G224" s="8"/>
    </row>
    <row r="225" spans="1:7" hidden="1" outlineLevel="1">
      <c r="A225" s="222"/>
      <c r="B225" s="7" t="s">
        <v>217</v>
      </c>
      <c r="C225" s="7">
        <v>0.7</v>
      </c>
      <c r="D225" s="7">
        <v>0.4</v>
      </c>
      <c r="E225" s="7">
        <v>0.9</v>
      </c>
      <c r="F225" s="7">
        <v>0.5</v>
      </c>
      <c r="G225" s="8"/>
    </row>
    <row r="226" spans="1:7" hidden="1" outlineLevel="1">
      <c r="A226" s="222"/>
      <c r="B226" s="7" t="s">
        <v>218</v>
      </c>
      <c r="C226" s="7">
        <v>0.8</v>
      </c>
      <c r="D226" s="7">
        <v>0.4</v>
      </c>
      <c r="E226" s="7">
        <v>1</v>
      </c>
      <c r="F226" s="7">
        <v>0.55000000000000004</v>
      </c>
      <c r="G226" s="8" t="s">
        <v>211</v>
      </c>
    </row>
    <row r="227" spans="1:7" hidden="1" outlineLevel="1">
      <c r="A227" s="222"/>
      <c r="B227" s="7" t="s">
        <v>219</v>
      </c>
      <c r="C227" s="7">
        <v>0.7</v>
      </c>
      <c r="D227" s="7">
        <v>0.4</v>
      </c>
      <c r="E227" s="7">
        <v>0.9</v>
      </c>
      <c r="F227" s="7">
        <v>0.5</v>
      </c>
      <c r="G227" s="8" t="s">
        <v>211</v>
      </c>
    </row>
    <row r="228" spans="1:7" hidden="1" outlineLevel="1">
      <c r="A228" s="222"/>
      <c r="B228" s="7" t="s">
        <v>220</v>
      </c>
      <c r="C228" s="7">
        <v>0.8</v>
      </c>
      <c r="D228" s="7">
        <v>0.4</v>
      </c>
      <c r="E228" s="7">
        <v>1</v>
      </c>
      <c r="F228" s="7">
        <v>0.55000000000000004</v>
      </c>
      <c r="G228" s="8" t="s">
        <v>211</v>
      </c>
    </row>
    <row r="229" spans="1:7" hidden="1" outlineLevel="1">
      <c r="A229" s="222"/>
      <c r="B229" s="7" t="s">
        <v>221</v>
      </c>
      <c r="C229" s="7">
        <v>0.7</v>
      </c>
      <c r="D229" s="7">
        <v>0.4</v>
      </c>
      <c r="E229" s="7">
        <v>0.9</v>
      </c>
      <c r="F229" s="7">
        <v>0.5</v>
      </c>
      <c r="G229" s="8" t="s">
        <v>211</v>
      </c>
    </row>
    <row r="230" spans="1:7" hidden="1" outlineLevel="1">
      <c r="A230" s="222"/>
      <c r="B230" s="7" t="s">
        <v>222</v>
      </c>
      <c r="C230" s="7">
        <v>0.8</v>
      </c>
      <c r="D230" s="7">
        <v>0.4</v>
      </c>
      <c r="E230" s="7">
        <v>1</v>
      </c>
      <c r="F230" s="7">
        <v>0.55000000000000004</v>
      </c>
      <c r="G230" s="8" t="s">
        <v>211</v>
      </c>
    </row>
    <row r="231" spans="1:7" hidden="1" outlineLevel="1">
      <c r="A231" s="222"/>
      <c r="B231" s="7" t="s">
        <v>223</v>
      </c>
      <c r="C231" s="7">
        <v>0.7</v>
      </c>
      <c r="D231" s="7">
        <v>0.4</v>
      </c>
      <c r="E231" s="7">
        <v>0.9</v>
      </c>
      <c r="F231" s="7">
        <v>0.5</v>
      </c>
      <c r="G231" s="8" t="s">
        <v>211</v>
      </c>
    </row>
    <row r="232" spans="1:7" hidden="1" outlineLevel="1">
      <c r="A232" s="222"/>
      <c r="B232" s="7" t="s">
        <v>224</v>
      </c>
      <c r="C232" s="7">
        <v>0.7</v>
      </c>
      <c r="D232" s="7">
        <v>0.4</v>
      </c>
      <c r="E232" s="7">
        <v>0.9</v>
      </c>
      <c r="F232" s="7">
        <v>0.5</v>
      </c>
      <c r="G232" s="8"/>
    </row>
    <row r="233" spans="1:7" hidden="1" outlineLevel="1">
      <c r="A233" s="222"/>
      <c r="B233" s="7" t="s">
        <v>225</v>
      </c>
      <c r="C233" s="7">
        <v>0.7</v>
      </c>
      <c r="D233" s="7">
        <v>0.4</v>
      </c>
      <c r="E233" s="7">
        <v>0.9</v>
      </c>
      <c r="F233" s="7">
        <v>0.5</v>
      </c>
      <c r="G233" s="8"/>
    </row>
    <row r="234" spans="1:7" hidden="1" outlineLevel="1">
      <c r="A234" s="222"/>
      <c r="B234" s="7" t="s">
        <v>226</v>
      </c>
      <c r="C234" s="7">
        <v>0.8</v>
      </c>
      <c r="D234" s="7">
        <v>0.4</v>
      </c>
      <c r="E234" s="7">
        <v>1</v>
      </c>
      <c r="F234" s="7">
        <v>0.55000000000000004</v>
      </c>
      <c r="G234" s="8" t="s">
        <v>211</v>
      </c>
    </row>
    <row r="235" spans="1:7" hidden="1" outlineLevel="1">
      <c r="A235" s="222"/>
      <c r="B235" s="7" t="s">
        <v>227</v>
      </c>
      <c r="C235" s="7">
        <v>0.7</v>
      </c>
      <c r="D235" s="7">
        <v>0.4</v>
      </c>
      <c r="E235" s="7">
        <v>0.9</v>
      </c>
      <c r="F235" s="7">
        <v>0.5</v>
      </c>
      <c r="G235" s="8"/>
    </row>
    <row r="236" spans="1:7" hidden="1" outlineLevel="1">
      <c r="A236" s="222"/>
      <c r="B236" s="7" t="s">
        <v>228</v>
      </c>
      <c r="C236" s="7">
        <v>0.7</v>
      </c>
      <c r="D236" s="7">
        <v>0.4</v>
      </c>
      <c r="E236" s="7">
        <v>0.9</v>
      </c>
      <c r="F236" s="7">
        <v>0.5</v>
      </c>
      <c r="G236" s="8" t="s">
        <v>211</v>
      </c>
    </row>
    <row r="237" spans="1:7" hidden="1" outlineLevel="1">
      <c r="A237" s="222"/>
      <c r="B237" s="7" t="s">
        <v>229</v>
      </c>
      <c r="C237" s="7">
        <v>0.7</v>
      </c>
      <c r="D237" s="7">
        <v>0.4</v>
      </c>
      <c r="E237" s="7">
        <v>0.9</v>
      </c>
      <c r="F237" s="7">
        <v>0.5</v>
      </c>
      <c r="G237" s="8" t="s">
        <v>211</v>
      </c>
    </row>
    <row r="238" spans="1:7" hidden="1" outlineLevel="1">
      <c r="A238" s="222"/>
      <c r="B238" s="7" t="s">
        <v>230</v>
      </c>
      <c r="C238" s="7">
        <v>0.7</v>
      </c>
      <c r="D238" s="7">
        <v>0.4</v>
      </c>
      <c r="E238" s="7">
        <v>0.9</v>
      </c>
      <c r="F238" s="7">
        <v>0.5</v>
      </c>
      <c r="G238" s="8" t="s">
        <v>211</v>
      </c>
    </row>
    <row r="239" spans="1:7" hidden="1" outlineLevel="1">
      <c r="A239" s="222"/>
      <c r="B239" s="7" t="s">
        <v>231</v>
      </c>
      <c r="C239" s="7">
        <v>0.8</v>
      </c>
      <c r="D239" s="7">
        <v>0.4</v>
      </c>
      <c r="E239" s="7">
        <v>1</v>
      </c>
      <c r="F239" s="7">
        <v>0.55000000000000004</v>
      </c>
      <c r="G239" s="8" t="s">
        <v>211</v>
      </c>
    </row>
    <row r="240" spans="1:7" s="40" customFormat="1" ht="18.75" customHeight="1" collapsed="1">
      <c r="A240" s="9" t="s">
        <v>470</v>
      </c>
      <c r="B240" s="9"/>
      <c r="C240" s="10"/>
      <c r="D240" s="10"/>
      <c r="E240" s="10"/>
      <c r="F240" s="10"/>
      <c r="G240" s="11"/>
    </row>
    <row r="241" spans="1:7" hidden="1" outlineLevel="1">
      <c r="A241" s="222" t="s">
        <v>471</v>
      </c>
      <c r="B241" s="7" t="s">
        <v>64</v>
      </c>
      <c r="C241" s="7">
        <v>0.7</v>
      </c>
      <c r="D241" s="7">
        <v>0.4</v>
      </c>
      <c r="E241" s="7">
        <v>0.9</v>
      </c>
      <c r="F241" s="7">
        <v>0.5</v>
      </c>
      <c r="G241" s="8"/>
    </row>
    <row r="242" spans="1:7" hidden="1" outlineLevel="1">
      <c r="A242" s="222"/>
      <c r="B242" s="7" t="s">
        <v>112</v>
      </c>
      <c r="C242" s="7">
        <v>0.7</v>
      </c>
      <c r="D242" s="7">
        <v>0.4</v>
      </c>
      <c r="E242" s="7">
        <v>0.9</v>
      </c>
      <c r="F242" s="7">
        <v>0.5</v>
      </c>
      <c r="G242" s="8"/>
    </row>
    <row r="243" spans="1:7" hidden="1" outlineLevel="1">
      <c r="A243" s="222"/>
      <c r="B243" s="7" t="s">
        <v>113</v>
      </c>
      <c r="C243" s="7">
        <v>0.7</v>
      </c>
      <c r="D243" s="7">
        <v>0.4</v>
      </c>
      <c r="E243" s="7">
        <v>0.9</v>
      </c>
      <c r="F243" s="7">
        <v>0.5</v>
      </c>
      <c r="G243" s="8"/>
    </row>
    <row r="244" spans="1:7" hidden="1" outlineLevel="1">
      <c r="A244" s="222"/>
      <c r="B244" s="7" t="s">
        <v>65</v>
      </c>
      <c r="C244" s="7">
        <v>0.7</v>
      </c>
      <c r="D244" s="7">
        <v>0.4</v>
      </c>
      <c r="E244" s="7">
        <v>0.9</v>
      </c>
      <c r="F244" s="7">
        <v>0.5</v>
      </c>
      <c r="G244" s="8"/>
    </row>
    <row r="245" spans="1:7" hidden="1" outlineLevel="1">
      <c r="A245" s="222"/>
      <c r="B245" s="7" t="s">
        <v>111</v>
      </c>
      <c r="C245" s="7">
        <v>0.7</v>
      </c>
      <c r="D245" s="7">
        <v>0.4</v>
      </c>
      <c r="E245" s="7">
        <v>0.9</v>
      </c>
      <c r="F245" s="7">
        <v>0.5</v>
      </c>
      <c r="G245" s="8"/>
    </row>
    <row r="246" spans="1:7" hidden="1" outlineLevel="1">
      <c r="A246" s="222"/>
      <c r="B246" s="7" t="s">
        <v>232</v>
      </c>
      <c r="C246" s="7">
        <v>0.7</v>
      </c>
      <c r="D246" s="7">
        <v>0.4</v>
      </c>
      <c r="E246" s="7">
        <v>0.9</v>
      </c>
      <c r="F246" s="7">
        <v>0.55000000000000004</v>
      </c>
      <c r="G246" s="8" t="s">
        <v>211</v>
      </c>
    </row>
    <row r="247" spans="1:7" hidden="1" outlineLevel="1">
      <c r="A247" s="222"/>
      <c r="B247" s="7" t="s">
        <v>233</v>
      </c>
      <c r="C247" s="7">
        <v>0.7</v>
      </c>
      <c r="D247" s="7">
        <v>0.4</v>
      </c>
      <c r="E247" s="7">
        <v>0.9</v>
      </c>
      <c r="F247" s="7">
        <v>0.5</v>
      </c>
      <c r="G247" s="8"/>
    </row>
    <row r="248" spans="1:7" s="40" customFormat="1" ht="18.75" customHeight="1" collapsed="1">
      <c r="A248" s="9" t="s">
        <v>472</v>
      </c>
      <c r="B248" s="9"/>
      <c r="C248" s="10"/>
      <c r="D248" s="10"/>
      <c r="E248" s="10"/>
      <c r="F248" s="10"/>
      <c r="G248" s="11"/>
    </row>
    <row r="249" spans="1:7" hidden="1" outlineLevel="1">
      <c r="A249" s="222" t="s">
        <v>473</v>
      </c>
      <c r="B249" s="7" t="s">
        <v>234</v>
      </c>
      <c r="C249" s="7">
        <v>0.5</v>
      </c>
      <c r="D249" s="7">
        <v>0.35</v>
      </c>
      <c r="E249" s="7">
        <v>0.7</v>
      </c>
      <c r="F249" s="7">
        <v>0.5</v>
      </c>
      <c r="G249" s="8"/>
    </row>
    <row r="250" spans="1:7" hidden="1" outlineLevel="1">
      <c r="A250" s="222"/>
      <c r="B250" s="7" t="s">
        <v>235</v>
      </c>
      <c r="C250" s="7">
        <v>0.5</v>
      </c>
      <c r="D250" s="7">
        <v>0.3</v>
      </c>
      <c r="E250" s="7">
        <v>0.7</v>
      </c>
      <c r="F250" s="7">
        <v>0.45</v>
      </c>
      <c r="G250" s="8"/>
    </row>
    <row r="251" spans="1:7" hidden="1" outlineLevel="1">
      <c r="A251" s="222"/>
      <c r="B251" s="7" t="s">
        <v>236</v>
      </c>
      <c r="C251" s="7">
        <v>0.5</v>
      </c>
      <c r="D251" s="7">
        <v>0.35</v>
      </c>
      <c r="E251" s="7">
        <v>0.7</v>
      </c>
      <c r="F251" s="7">
        <v>0.45</v>
      </c>
      <c r="G251" s="8"/>
    </row>
    <row r="252" spans="1:7" hidden="1" outlineLevel="1">
      <c r="A252" s="222"/>
      <c r="B252" s="7" t="s">
        <v>237</v>
      </c>
      <c r="C252" s="7">
        <v>0.6</v>
      </c>
      <c r="D252" s="7">
        <v>0.35</v>
      </c>
      <c r="E252" s="7">
        <v>0.8</v>
      </c>
      <c r="F252" s="7">
        <v>0.5</v>
      </c>
      <c r="G252" s="8"/>
    </row>
    <row r="253" spans="1:7" hidden="1" outlineLevel="1">
      <c r="A253" s="222"/>
      <c r="B253" s="7" t="s">
        <v>238</v>
      </c>
      <c r="C253" s="7">
        <v>0.6</v>
      </c>
      <c r="D253" s="7">
        <v>0.35</v>
      </c>
      <c r="E253" s="7">
        <v>0.8</v>
      </c>
      <c r="F253" s="7">
        <v>0.5</v>
      </c>
      <c r="G253" s="8"/>
    </row>
    <row r="254" spans="1:7" hidden="1" outlineLevel="1">
      <c r="A254" s="222"/>
      <c r="B254" s="7" t="s">
        <v>239</v>
      </c>
      <c r="C254" s="7">
        <v>0.6</v>
      </c>
      <c r="D254" s="7">
        <v>0.35</v>
      </c>
      <c r="E254" s="7">
        <v>0.8</v>
      </c>
      <c r="F254" s="7">
        <v>0.5</v>
      </c>
      <c r="G254" s="8"/>
    </row>
    <row r="255" spans="1:7" hidden="1" outlineLevel="1">
      <c r="A255" s="222"/>
      <c r="B255" s="7" t="s">
        <v>240</v>
      </c>
      <c r="C255" s="7">
        <v>0.6</v>
      </c>
      <c r="D255" s="7">
        <v>0.35</v>
      </c>
      <c r="E255" s="7">
        <v>0.8</v>
      </c>
      <c r="F255" s="7">
        <v>0.5</v>
      </c>
      <c r="G255" s="8"/>
    </row>
    <row r="256" spans="1:7" hidden="1" outlineLevel="1">
      <c r="A256" s="222"/>
      <c r="B256" s="7" t="s">
        <v>241</v>
      </c>
      <c r="C256" s="7">
        <v>0.7</v>
      </c>
      <c r="D256" s="7">
        <v>0.35</v>
      </c>
      <c r="E256" s="7">
        <v>0.9</v>
      </c>
      <c r="F256" s="7">
        <v>0.5</v>
      </c>
      <c r="G256" s="8"/>
    </row>
    <row r="257" spans="1:7" hidden="1" outlineLevel="1">
      <c r="A257" s="222"/>
      <c r="B257" s="7" t="s">
        <v>242</v>
      </c>
      <c r="C257" s="7">
        <v>0.7</v>
      </c>
      <c r="D257" s="7">
        <v>0.35</v>
      </c>
      <c r="E257" s="7">
        <v>0.9</v>
      </c>
      <c r="F257" s="7">
        <v>0.5</v>
      </c>
      <c r="G257" s="8"/>
    </row>
    <row r="258" spans="1:7" hidden="1" outlineLevel="1">
      <c r="A258" s="222"/>
      <c r="B258" s="7" t="s">
        <v>243</v>
      </c>
      <c r="C258" s="7">
        <v>0.7</v>
      </c>
      <c r="D258" s="7">
        <v>0.35</v>
      </c>
      <c r="E258" s="7">
        <v>0.9</v>
      </c>
      <c r="F258" s="7">
        <v>0.5</v>
      </c>
      <c r="G258" s="8"/>
    </row>
    <row r="259" spans="1:7" hidden="1" outlineLevel="1">
      <c r="A259" s="222"/>
      <c r="B259" s="7" t="s">
        <v>244</v>
      </c>
      <c r="C259" s="7">
        <v>0.7</v>
      </c>
      <c r="D259" s="7">
        <v>0.35</v>
      </c>
      <c r="E259" s="7">
        <v>0.9</v>
      </c>
      <c r="F259" s="7">
        <v>0.5</v>
      </c>
      <c r="G259" s="8"/>
    </row>
    <row r="260" spans="1:7" hidden="1" outlineLevel="1">
      <c r="A260" s="222"/>
      <c r="B260" s="7" t="s">
        <v>245</v>
      </c>
      <c r="C260" s="7">
        <v>0.7</v>
      </c>
      <c r="D260" s="7">
        <v>0.35</v>
      </c>
      <c r="E260" s="7">
        <v>0.9</v>
      </c>
      <c r="F260" s="7">
        <v>0.5</v>
      </c>
      <c r="G260" s="8"/>
    </row>
    <row r="261" spans="1:7" hidden="1" outlineLevel="1">
      <c r="A261" s="222"/>
      <c r="B261" s="7" t="s">
        <v>246</v>
      </c>
      <c r="C261" s="7">
        <v>0.7</v>
      </c>
      <c r="D261" s="7">
        <v>0.35</v>
      </c>
      <c r="E261" s="7">
        <v>0.9</v>
      </c>
      <c r="F261" s="7">
        <v>0.5</v>
      </c>
      <c r="G261" s="8"/>
    </row>
    <row r="262" spans="1:7" hidden="1" outlineLevel="1">
      <c r="A262" s="222"/>
      <c r="B262" s="7" t="s">
        <v>247</v>
      </c>
      <c r="C262" s="7">
        <v>0.7</v>
      </c>
      <c r="D262" s="7">
        <v>0.35</v>
      </c>
      <c r="E262" s="7">
        <v>0.9</v>
      </c>
      <c r="F262" s="7">
        <v>0.5</v>
      </c>
      <c r="G262" s="8"/>
    </row>
    <row r="263" spans="1:7" hidden="1" outlineLevel="1">
      <c r="A263" s="222"/>
      <c r="B263" s="7" t="s">
        <v>248</v>
      </c>
      <c r="C263" s="7">
        <v>0.7</v>
      </c>
      <c r="D263" s="7">
        <v>0.35</v>
      </c>
      <c r="E263" s="7">
        <v>0.9</v>
      </c>
      <c r="F263" s="7">
        <v>0.5</v>
      </c>
      <c r="G263" s="8"/>
    </row>
    <row r="264" spans="1:7" hidden="1" outlineLevel="1">
      <c r="A264" s="222"/>
      <c r="B264" s="7" t="s">
        <v>249</v>
      </c>
      <c r="C264" s="7">
        <v>0.7</v>
      </c>
      <c r="D264" s="7">
        <v>0.35</v>
      </c>
      <c r="E264" s="7">
        <v>0.9</v>
      </c>
      <c r="F264" s="7">
        <v>0.5</v>
      </c>
      <c r="G264" s="8"/>
    </row>
    <row r="265" spans="1:7" hidden="1" outlineLevel="1">
      <c r="A265" s="222"/>
      <c r="B265" s="7" t="s">
        <v>250</v>
      </c>
      <c r="C265" s="7">
        <v>0.7</v>
      </c>
      <c r="D265" s="7">
        <v>0.35</v>
      </c>
      <c r="E265" s="7">
        <v>0.9</v>
      </c>
      <c r="F265" s="7">
        <v>0.5</v>
      </c>
      <c r="G265" s="8"/>
    </row>
    <row r="266" spans="1:7" hidden="1" outlineLevel="1">
      <c r="A266" s="222"/>
      <c r="B266" s="7" t="s">
        <v>251</v>
      </c>
      <c r="C266" s="7">
        <v>0.7</v>
      </c>
      <c r="D266" s="7">
        <v>0.35</v>
      </c>
      <c r="E266" s="7">
        <v>0.9</v>
      </c>
      <c r="F266" s="7">
        <v>0.5</v>
      </c>
      <c r="G266" s="8"/>
    </row>
    <row r="267" spans="1:7" hidden="1" outlineLevel="1">
      <c r="A267" s="222"/>
      <c r="B267" s="7" t="s">
        <v>252</v>
      </c>
      <c r="C267" s="7">
        <v>0.7</v>
      </c>
      <c r="D267" s="7">
        <v>0.4</v>
      </c>
      <c r="E267" s="7">
        <v>0.9</v>
      </c>
      <c r="F267" s="7">
        <v>0.5</v>
      </c>
      <c r="G267" s="8"/>
    </row>
    <row r="268" spans="1:7" hidden="1" outlineLevel="1">
      <c r="A268" s="222"/>
      <c r="B268" s="7" t="s">
        <v>253</v>
      </c>
      <c r="C268" s="7">
        <v>0.7</v>
      </c>
      <c r="D268" s="7">
        <v>0.4</v>
      </c>
      <c r="E268" s="7">
        <v>0.9</v>
      </c>
      <c r="F268" s="7">
        <v>0.5</v>
      </c>
      <c r="G268" s="8"/>
    </row>
    <row r="269" spans="1:7" hidden="1" outlineLevel="1">
      <c r="A269" s="222"/>
      <c r="B269" s="7" t="s">
        <v>254</v>
      </c>
      <c r="C269" s="7">
        <v>0.7</v>
      </c>
      <c r="D269" s="7">
        <v>0.4</v>
      </c>
      <c r="E269" s="7">
        <v>0.9</v>
      </c>
      <c r="F269" s="7">
        <v>0.5</v>
      </c>
      <c r="G269" s="8"/>
    </row>
    <row r="270" spans="1:7" hidden="1" outlineLevel="1">
      <c r="A270" s="222"/>
      <c r="B270" s="7" t="s">
        <v>255</v>
      </c>
      <c r="C270" s="7">
        <v>0.7</v>
      </c>
      <c r="D270" s="7">
        <v>0.4</v>
      </c>
      <c r="E270" s="7">
        <v>0.9</v>
      </c>
      <c r="F270" s="7">
        <v>0.5</v>
      </c>
      <c r="G270" s="8"/>
    </row>
    <row r="271" spans="1:7" hidden="1" outlineLevel="1">
      <c r="A271" s="222"/>
      <c r="B271" s="7" t="s">
        <v>256</v>
      </c>
      <c r="C271" s="7">
        <v>0.7</v>
      </c>
      <c r="D271" s="7">
        <v>0.4</v>
      </c>
      <c r="E271" s="7">
        <v>0.9</v>
      </c>
      <c r="F271" s="7">
        <v>0.5</v>
      </c>
      <c r="G271" s="8"/>
    </row>
    <row r="272" spans="1:7" hidden="1" outlineLevel="1">
      <c r="A272" s="222"/>
      <c r="B272" s="7" t="s">
        <v>257</v>
      </c>
      <c r="C272" s="7">
        <v>0.7</v>
      </c>
      <c r="D272" s="7">
        <v>0.4</v>
      </c>
      <c r="E272" s="7">
        <v>0.9</v>
      </c>
      <c r="F272" s="7">
        <v>0.5</v>
      </c>
      <c r="G272" s="8"/>
    </row>
    <row r="273" spans="1:7" hidden="1" outlineLevel="1">
      <c r="A273" s="222"/>
      <c r="B273" s="7" t="s">
        <v>258</v>
      </c>
      <c r="C273" s="7">
        <v>0.7</v>
      </c>
      <c r="D273" s="7">
        <v>0.4</v>
      </c>
      <c r="E273" s="7">
        <v>0.9</v>
      </c>
      <c r="F273" s="7">
        <v>0.5</v>
      </c>
      <c r="G273" s="8"/>
    </row>
    <row r="274" spans="1:7" hidden="1" outlineLevel="1">
      <c r="A274" s="222"/>
      <c r="B274" s="7" t="s">
        <v>259</v>
      </c>
      <c r="C274" s="7">
        <v>0.7</v>
      </c>
      <c r="D274" s="7">
        <v>0.4</v>
      </c>
      <c r="E274" s="7">
        <v>0.9</v>
      </c>
      <c r="F274" s="7">
        <v>0.5</v>
      </c>
      <c r="G274" s="8"/>
    </row>
    <row r="275" spans="1:7" hidden="1" outlineLevel="1">
      <c r="A275" s="222"/>
      <c r="B275" s="7" t="s">
        <v>260</v>
      </c>
      <c r="C275" s="7">
        <v>0.7</v>
      </c>
      <c r="D275" s="7">
        <v>0.4</v>
      </c>
      <c r="E275" s="7">
        <v>0.9</v>
      </c>
      <c r="F275" s="7">
        <v>0.5</v>
      </c>
      <c r="G275" s="8"/>
    </row>
    <row r="276" spans="1:7" s="40" customFormat="1" ht="18.75" customHeight="1" collapsed="1">
      <c r="A276" s="46" t="s">
        <v>518</v>
      </c>
      <c r="B276" s="9"/>
      <c r="C276" s="10"/>
      <c r="D276" s="10"/>
      <c r="E276" s="10"/>
      <c r="F276" s="10"/>
      <c r="G276" s="11"/>
    </row>
    <row r="277" spans="1:7" hidden="1" outlineLevel="1">
      <c r="A277" s="222" t="s">
        <v>474</v>
      </c>
      <c r="B277" s="7" t="s">
        <v>261</v>
      </c>
      <c r="C277" s="7">
        <v>0.6</v>
      </c>
      <c r="D277" s="7">
        <v>0.35</v>
      </c>
      <c r="E277" s="7">
        <v>0.8</v>
      </c>
      <c r="F277" s="7">
        <v>0.5</v>
      </c>
      <c r="G277" s="8"/>
    </row>
    <row r="278" spans="1:7" hidden="1" outlineLevel="1">
      <c r="A278" s="222"/>
      <c r="B278" s="7" t="s">
        <v>262</v>
      </c>
      <c r="C278" s="7">
        <v>0.6</v>
      </c>
      <c r="D278" s="7">
        <v>0.35</v>
      </c>
      <c r="E278" s="7">
        <v>0.8</v>
      </c>
      <c r="F278" s="7">
        <v>0.5</v>
      </c>
      <c r="G278" s="8"/>
    </row>
    <row r="279" spans="1:7" hidden="1" outlineLevel="1">
      <c r="A279" s="222"/>
      <c r="B279" s="7" t="s">
        <v>263</v>
      </c>
      <c r="C279" s="7">
        <v>0.6</v>
      </c>
      <c r="D279" s="7">
        <v>0.35</v>
      </c>
      <c r="E279" s="7">
        <v>0.8</v>
      </c>
      <c r="F279" s="7">
        <v>0.5</v>
      </c>
      <c r="G279" s="8"/>
    </row>
    <row r="280" spans="1:7" hidden="1" outlineLevel="1">
      <c r="A280" s="222"/>
      <c r="B280" s="7" t="s">
        <v>264</v>
      </c>
      <c r="C280" s="7">
        <v>0.6</v>
      </c>
      <c r="D280" s="7">
        <v>0.35</v>
      </c>
      <c r="E280" s="7">
        <v>0.8</v>
      </c>
      <c r="F280" s="7">
        <v>0.5</v>
      </c>
      <c r="G280" s="8"/>
    </row>
    <row r="281" spans="1:7" hidden="1" outlineLevel="1">
      <c r="A281" s="222"/>
      <c r="B281" s="7" t="s">
        <v>265</v>
      </c>
      <c r="C281" s="7">
        <v>0.6</v>
      </c>
      <c r="D281" s="7">
        <v>0.35</v>
      </c>
      <c r="E281" s="7">
        <v>0.8</v>
      </c>
      <c r="F281" s="7">
        <v>0.5</v>
      </c>
      <c r="G281" s="8"/>
    </row>
    <row r="282" spans="1:7" hidden="1" outlineLevel="1">
      <c r="A282" s="222"/>
      <c r="B282" s="7" t="s">
        <v>266</v>
      </c>
      <c r="C282" s="7">
        <v>0.6</v>
      </c>
      <c r="D282" s="7">
        <v>0.35</v>
      </c>
      <c r="E282" s="7">
        <v>0.8</v>
      </c>
      <c r="F282" s="7">
        <v>0.5</v>
      </c>
      <c r="G282" s="8"/>
    </row>
    <row r="283" spans="1:7" hidden="1" outlineLevel="1">
      <c r="A283" s="222"/>
      <c r="B283" s="7" t="s">
        <v>267</v>
      </c>
      <c r="C283" s="7">
        <v>0.6</v>
      </c>
      <c r="D283" s="7">
        <v>0.35</v>
      </c>
      <c r="E283" s="7">
        <v>0.8</v>
      </c>
      <c r="F283" s="7">
        <v>0.5</v>
      </c>
      <c r="G283" s="8"/>
    </row>
    <row r="284" spans="1:7" hidden="1" outlineLevel="1">
      <c r="A284" s="222"/>
      <c r="B284" s="7" t="s">
        <v>268</v>
      </c>
      <c r="C284" s="7">
        <v>0.5</v>
      </c>
      <c r="D284" s="7">
        <v>0.35</v>
      </c>
      <c r="E284" s="7">
        <v>0.7</v>
      </c>
      <c r="F284" s="7">
        <v>0.5</v>
      </c>
      <c r="G284" s="8"/>
    </row>
    <row r="285" spans="1:7" hidden="1" outlineLevel="1">
      <c r="A285" s="222"/>
      <c r="B285" s="7" t="s">
        <v>269</v>
      </c>
      <c r="C285" s="7">
        <v>0.5</v>
      </c>
      <c r="D285" s="7">
        <v>0.35</v>
      </c>
      <c r="E285" s="7">
        <v>0.7</v>
      </c>
      <c r="F285" s="7">
        <v>0.5</v>
      </c>
      <c r="G285" s="8"/>
    </row>
    <row r="286" spans="1:7" hidden="1" outlineLevel="1">
      <c r="A286" s="222"/>
      <c r="B286" s="7" t="s">
        <v>270</v>
      </c>
      <c r="C286" s="7">
        <v>0.5</v>
      </c>
      <c r="D286" s="7">
        <v>0.35</v>
      </c>
      <c r="E286" s="7">
        <v>0.7</v>
      </c>
      <c r="F286" s="7">
        <v>0.5</v>
      </c>
      <c r="G286" s="8"/>
    </row>
    <row r="287" spans="1:7" hidden="1" outlineLevel="1">
      <c r="A287" s="222"/>
      <c r="B287" s="7" t="s">
        <v>271</v>
      </c>
      <c r="C287" s="7">
        <v>0.5</v>
      </c>
      <c r="D287" s="7">
        <v>0.35</v>
      </c>
      <c r="E287" s="7">
        <v>0.7</v>
      </c>
      <c r="F287" s="7">
        <v>0.45</v>
      </c>
      <c r="G287" s="8"/>
    </row>
    <row r="288" spans="1:7" s="40" customFormat="1" ht="18.75" customHeight="1" collapsed="1">
      <c r="A288" s="9" t="s">
        <v>475</v>
      </c>
      <c r="B288" s="9"/>
      <c r="C288" s="10"/>
      <c r="D288" s="10"/>
      <c r="E288" s="10"/>
      <c r="F288" s="10"/>
      <c r="G288" s="11"/>
    </row>
    <row r="289" spans="1:7" hidden="1" outlineLevel="1">
      <c r="A289" s="222" t="s">
        <v>476</v>
      </c>
      <c r="B289" s="7" t="s">
        <v>272</v>
      </c>
      <c r="C289" s="7">
        <v>0.6</v>
      </c>
      <c r="D289" s="7">
        <v>0.35</v>
      </c>
      <c r="E289" s="7">
        <v>0.8</v>
      </c>
      <c r="F289" s="7">
        <v>0.5</v>
      </c>
      <c r="G289" s="8"/>
    </row>
    <row r="290" spans="1:7" hidden="1" outlineLevel="1">
      <c r="A290" s="222"/>
      <c r="B290" s="7" t="s">
        <v>273</v>
      </c>
      <c r="C290" s="7">
        <v>0.6</v>
      </c>
      <c r="D290" s="7">
        <v>0.3</v>
      </c>
      <c r="E290" s="7">
        <v>0.8</v>
      </c>
      <c r="F290" s="7">
        <v>0.45</v>
      </c>
      <c r="G290" s="8"/>
    </row>
    <row r="291" spans="1:7" hidden="1" outlineLevel="1">
      <c r="A291" s="222"/>
      <c r="B291" s="7" t="s">
        <v>274</v>
      </c>
      <c r="C291" s="7">
        <v>0.5</v>
      </c>
      <c r="D291" s="7">
        <v>0.3</v>
      </c>
      <c r="E291" s="7">
        <v>0.7</v>
      </c>
      <c r="F291" s="7">
        <v>0.4</v>
      </c>
      <c r="G291" s="8"/>
    </row>
    <row r="292" spans="1:7" hidden="1" outlineLevel="1">
      <c r="A292" s="222"/>
      <c r="B292" s="7" t="s">
        <v>275</v>
      </c>
      <c r="C292" s="7">
        <v>0.5</v>
      </c>
      <c r="D292" s="7">
        <v>0.3</v>
      </c>
      <c r="E292" s="7">
        <v>0.7</v>
      </c>
      <c r="F292" s="7">
        <v>0.4</v>
      </c>
      <c r="G292" s="8"/>
    </row>
    <row r="293" spans="1:7" hidden="1" outlineLevel="1">
      <c r="A293" s="222"/>
      <c r="B293" s="7" t="s">
        <v>276</v>
      </c>
      <c r="C293" s="7">
        <v>0.6</v>
      </c>
      <c r="D293" s="7">
        <v>0.35</v>
      </c>
      <c r="E293" s="7">
        <v>0.8</v>
      </c>
      <c r="F293" s="7">
        <v>0.45</v>
      </c>
      <c r="G293" s="8"/>
    </row>
    <row r="294" spans="1:7" hidden="1" outlineLevel="1">
      <c r="A294" s="222"/>
      <c r="B294" s="7" t="s">
        <v>277</v>
      </c>
      <c r="C294" s="7">
        <v>0.7</v>
      </c>
      <c r="D294" s="7">
        <v>0.35</v>
      </c>
      <c r="E294" s="7">
        <v>0.8</v>
      </c>
      <c r="F294" s="7">
        <v>0.5</v>
      </c>
      <c r="G294" s="8"/>
    </row>
    <row r="295" spans="1:7" hidden="1" outlineLevel="1">
      <c r="A295" s="222"/>
      <c r="B295" s="7" t="s">
        <v>278</v>
      </c>
      <c r="C295" s="7">
        <v>0.7</v>
      </c>
      <c r="D295" s="7">
        <v>0.35</v>
      </c>
      <c r="E295" s="7">
        <v>0.9</v>
      </c>
      <c r="F295" s="7">
        <v>0.5</v>
      </c>
      <c r="G295" s="8"/>
    </row>
    <row r="296" spans="1:7" hidden="1" outlineLevel="1">
      <c r="A296" s="222"/>
      <c r="B296" s="7" t="s">
        <v>279</v>
      </c>
      <c r="C296" s="7">
        <v>0.6</v>
      </c>
      <c r="D296" s="7">
        <v>0.35</v>
      </c>
      <c r="E296" s="7">
        <v>0.8</v>
      </c>
      <c r="F296" s="7">
        <v>0.5</v>
      </c>
      <c r="G296" s="8"/>
    </row>
    <row r="297" spans="1:7" hidden="1" outlineLevel="1">
      <c r="A297" s="222"/>
      <c r="B297" s="7" t="s">
        <v>280</v>
      </c>
      <c r="C297" s="7">
        <v>0.7</v>
      </c>
      <c r="D297" s="7">
        <v>0.35</v>
      </c>
      <c r="E297" s="7">
        <v>0.9</v>
      </c>
      <c r="F297" s="7">
        <v>0.5</v>
      </c>
      <c r="G297" s="8"/>
    </row>
    <row r="298" spans="1:7" hidden="1" outlineLevel="1">
      <c r="A298" s="222"/>
      <c r="B298" s="7" t="s">
        <v>281</v>
      </c>
      <c r="C298" s="7">
        <v>0.6</v>
      </c>
      <c r="D298" s="7">
        <v>0.35</v>
      </c>
      <c r="E298" s="7">
        <v>0.8</v>
      </c>
      <c r="F298" s="7">
        <v>0.5</v>
      </c>
      <c r="G298" s="8"/>
    </row>
    <row r="299" spans="1:7" hidden="1" outlineLevel="1">
      <c r="A299" s="222"/>
      <c r="B299" s="7" t="s">
        <v>282</v>
      </c>
      <c r="C299" s="7">
        <v>0.7</v>
      </c>
      <c r="D299" s="7">
        <v>0.4</v>
      </c>
      <c r="E299" s="7">
        <v>0.9</v>
      </c>
      <c r="F299" s="7">
        <v>0.5</v>
      </c>
      <c r="G299" s="8"/>
    </row>
    <row r="300" spans="1:7" hidden="1" outlineLevel="1">
      <c r="A300" s="222"/>
      <c r="B300" s="7" t="s">
        <v>283</v>
      </c>
      <c r="C300" s="7">
        <v>0.6</v>
      </c>
      <c r="D300" s="7">
        <v>0.35</v>
      </c>
      <c r="E300" s="7">
        <v>0.8</v>
      </c>
      <c r="F300" s="7">
        <v>0.45</v>
      </c>
      <c r="G300" s="8"/>
    </row>
    <row r="301" spans="1:7" hidden="1" outlineLevel="1">
      <c r="A301" s="222"/>
      <c r="B301" s="7" t="s">
        <v>284</v>
      </c>
      <c r="C301" s="7">
        <v>0.6</v>
      </c>
      <c r="D301" s="7">
        <v>0.35</v>
      </c>
      <c r="E301" s="7">
        <v>0.8</v>
      </c>
      <c r="F301" s="7">
        <v>0.5</v>
      </c>
      <c r="G301" s="8"/>
    </row>
    <row r="302" spans="1:7" hidden="1" outlineLevel="1">
      <c r="A302" s="222"/>
      <c r="B302" s="7" t="s">
        <v>285</v>
      </c>
      <c r="C302" s="7">
        <v>0.6</v>
      </c>
      <c r="D302" s="7">
        <v>0.35</v>
      </c>
      <c r="E302" s="7">
        <v>0.8</v>
      </c>
      <c r="F302" s="7">
        <v>0.45</v>
      </c>
      <c r="G302" s="8"/>
    </row>
    <row r="303" spans="1:7" hidden="1" outlineLevel="1">
      <c r="A303" s="222"/>
      <c r="B303" s="7" t="s">
        <v>286</v>
      </c>
      <c r="C303" s="7">
        <v>0.6</v>
      </c>
      <c r="D303" s="7">
        <v>0.3</v>
      </c>
      <c r="E303" s="7">
        <v>0.7</v>
      </c>
      <c r="F303" s="7">
        <v>0.4</v>
      </c>
      <c r="G303" s="8"/>
    </row>
    <row r="304" spans="1:7" hidden="1" outlineLevel="1">
      <c r="A304" s="222"/>
      <c r="B304" s="7" t="s">
        <v>287</v>
      </c>
      <c r="C304" s="7">
        <v>0.5</v>
      </c>
      <c r="D304" s="7">
        <v>0.3</v>
      </c>
      <c r="E304" s="7">
        <v>0.7</v>
      </c>
      <c r="F304" s="7">
        <v>0.4</v>
      </c>
      <c r="G304" s="8"/>
    </row>
    <row r="305" spans="1:7" hidden="1" outlineLevel="1">
      <c r="A305" s="222"/>
      <c r="B305" s="7" t="s">
        <v>288</v>
      </c>
      <c r="C305" s="7">
        <v>0.5</v>
      </c>
      <c r="D305" s="7">
        <v>0.3</v>
      </c>
      <c r="E305" s="7">
        <v>0.7</v>
      </c>
      <c r="F305" s="7">
        <v>0.45</v>
      </c>
      <c r="G305" s="8"/>
    </row>
    <row r="306" spans="1:7" hidden="1" outlineLevel="1">
      <c r="A306" s="222"/>
      <c r="B306" s="7" t="s">
        <v>289</v>
      </c>
      <c r="C306" s="7">
        <v>0.5</v>
      </c>
      <c r="D306" s="7">
        <v>0.3</v>
      </c>
      <c r="E306" s="7">
        <v>0.8</v>
      </c>
      <c r="F306" s="7">
        <v>0.45</v>
      </c>
      <c r="G306" s="8"/>
    </row>
    <row r="307" spans="1:7" hidden="1" outlineLevel="1">
      <c r="A307" s="222"/>
      <c r="B307" s="7" t="s">
        <v>290</v>
      </c>
      <c r="C307" s="7">
        <v>0.5</v>
      </c>
      <c r="D307" s="7">
        <v>0.3</v>
      </c>
      <c r="E307" s="7">
        <v>0.7</v>
      </c>
      <c r="F307" s="7">
        <v>0.4</v>
      </c>
      <c r="G307" s="8"/>
    </row>
    <row r="308" spans="1:7" hidden="1" outlineLevel="1">
      <c r="A308" s="222"/>
      <c r="B308" s="7" t="s">
        <v>291</v>
      </c>
      <c r="C308" s="7">
        <v>0.5</v>
      </c>
      <c r="D308" s="7">
        <v>0.3</v>
      </c>
      <c r="E308" s="7">
        <v>0.7</v>
      </c>
      <c r="F308" s="7">
        <v>0.4</v>
      </c>
      <c r="G308" s="8"/>
    </row>
    <row r="309" spans="1:7" hidden="1" outlineLevel="1">
      <c r="A309" s="222"/>
      <c r="B309" s="7" t="s">
        <v>292</v>
      </c>
      <c r="C309" s="7">
        <v>0.5</v>
      </c>
      <c r="D309" s="7">
        <v>0.3</v>
      </c>
      <c r="E309" s="7">
        <v>0.7</v>
      </c>
      <c r="F309" s="7">
        <v>0.4</v>
      </c>
      <c r="G309" s="8"/>
    </row>
    <row r="310" spans="1:7" hidden="1" outlineLevel="1">
      <c r="A310" s="222"/>
      <c r="B310" s="7" t="s">
        <v>293</v>
      </c>
      <c r="C310" s="7">
        <v>0.5</v>
      </c>
      <c r="D310" s="7">
        <v>0.3</v>
      </c>
      <c r="E310" s="7">
        <v>0.7</v>
      </c>
      <c r="F310" s="7">
        <v>0.4</v>
      </c>
      <c r="G310" s="8"/>
    </row>
    <row r="311" spans="1:7" hidden="1" outlineLevel="1">
      <c r="A311" s="222"/>
      <c r="B311" s="7" t="s">
        <v>294</v>
      </c>
      <c r="C311" s="7">
        <v>0.5</v>
      </c>
      <c r="D311" s="7">
        <v>0.3</v>
      </c>
      <c r="E311" s="7">
        <v>0.7</v>
      </c>
      <c r="F311" s="7">
        <v>0.4</v>
      </c>
      <c r="G311" s="8"/>
    </row>
    <row r="312" spans="1:7" hidden="1" outlineLevel="1">
      <c r="A312" s="222"/>
      <c r="B312" s="7" t="s">
        <v>295</v>
      </c>
      <c r="C312" s="7">
        <v>0.5</v>
      </c>
      <c r="D312" s="7">
        <v>0.3</v>
      </c>
      <c r="E312" s="7">
        <v>0.7</v>
      </c>
      <c r="F312" s="7">
        <v>0.4</v>
      </c>
      <c r="G312" s="8"/>
    </row>
    <row r="313" spans="1:7" hidden="1" outlineLevel="1">
      <c r="A313" s="222"/>
      <c r="B313" s="7" t="s">
        <v>296</v>
      </c>
      <c r="C313" s="7">
        <v>0.5</v>
      </c>
      <c r="D313" s="7">
        <v>0.3</v>
      </c>
      <c r="E313" s="7">
        <v>0.7</v>
      </c>
      <c r="F313" s="7">
        <v>0.4</v>
      </c>
      <c r="G313" s="8"/>
    </row>
    <row r="314" spans="1:7" hidden="1" outlineLevel="1">
      <c r="A314" s="222"/>
      <c r="B314" s="7" t="s">
        <v>297</v>
      </c>
      <c r="C314" s="7">
        <v>0.7</v>
      </c>
      <c r="D314" s="7">
        <v>0.4</v>
      </c>
      <c r="E314" s="7">
        <v>0.9</v>
      </c>
      <c r="F314" s="7">
        <v>0.5</v>
      </c>
      <c r="G314" s="8"/>
    </row>
    <row r="315" spans="1:7" hidden="1" outlineLevel="1">
      <c r="A315" s="222"/>
      <c r="B315" s="7" t="s">
        <v>298</v>
      </c>
      <c r="C315" s="7">
        <v>0.7</v>
      </c>
      <c r="D315" s="7">
        <v>0.4</v>
      </c>
      <c r="E315" s="7">
        <v>0.9</v>
      </c>
      <c r="F315" s="7">
        <v>0.5</v>
      </c>
      <c r="G315" s="8"/>
    </row>
    <row r="316" spans="1:7" hidden="1" outlineLevel="1">
      <c r="A316" s="222"/>
      <c r="B316" s="7" t="s">
        <v>299</v>
      </c>
      <c r="C316" s="7">
        <v>0.7</v>
      </c>
      <c r="D316" s="7">
        <v>0.35</v>
      </c>
      <c r="E316" s="7">
        <v>0.9</v>
      </c>
      <c r="F316" s="7">
        <v>0.5</v>
      </c>
      <c r="G316" s="8"/>
    </row>
    <row r="317" spans="1:7" hidden="1" outlineLevel="1">
      <c r="A317" s="222"/>
      <c r="B317" s="7" t="s">
        <v>300</v>
      </c>
      <c r="C317" s="7">
        <v>0.7</v>
      </c>
      <c r="D317" s="7">
        <v>0.35</v>
      </c>
      <c r="E317" s="7">
        <v>0.9</v>
      </c>
      <c r="F317" s="7">
        <v>0.5</v>
      </c>
      <c r="G317" s="8"/>
    </row>
    <row r="318" spans="1:7" hidden="1" outlineLevel="1">
      <c r="A318" s="222"/>
      <c r="B318" s="7" t="s">
        <v>301</v>
      </c>
      <c r="C318" s="7">
        <v>0.6</v>
      </c>
      <c r="D318" s="7">
        <v>0.3</v>
      </c>
      <c r="E318" s="7">
        <v>0.8</v>
      </c>
      <c r="F318" s="7">
        <v>0.45</v>
      </c>
      <c r="G318" s="8"/>
    </row>
    <row r="319" spans="1:7" hidden="1" outlineLevel="1">
      <c r="A319" s="222"/>
      <c r="B319" s="7" t="s">
        <v>302</v>
      </c>
      <c r="C319" s="7">
        <v>0.5</v>
      </c>
      <c r="D319" s="7">
        <v>0.3</v>
      </c>
      <c r="E319" s="7">
        <v>0.7</v>
      </c>
      <c r="F319" s="7">
        <v>0.4</v>
      </c>
      <c r="G319" s="8"/>
    </row>
    <row r="320" spans="1:7" hidden="1" outlineLevel="1">
      <c r="A320" s="222"/>
      <c r="B320" s="7" t="s">
        <v>303</v>
      </c>
      <c r="C320" s="7">
        <v>0.5</v>
      </c>
      <c r="D320" s="7">
        <v>0.3</v>
      </c>
      <c r="E320" s="7">
        <v>0.7</v>
      </c>
      <c r="F320" s="7">
        <v>0.4</v>
      </c>
      <c r="G320" s="8"/>
    </row>
    <row r="321" spans="1:7" hidden="1" outlineLevel="1">
      <c r="A321" s="222"/>
      <c r="B321" s="7" t="s">
        <v>304</v>
      </c>
      <c r="C321" s="7">
        <v>0.5</v>
      </c>
      <c r="D321" s="7">
        <v>0.3</v>
      </c>
      <c r="E321" s="7">
        <v>0.7</v>
      </c>
      <c r="F321" s="7">
        <v>0.4</v>
      </c>
      <c r="G321" s="8"/>
    </row>
    <row r="322" spans="1:7" s="40" customFormat="1" ht="18.75" customHeight="1" collapsed="1">
      <c r="A322" s="9" t="s">
        <v>477</v>
      </c>
      <c r="B322" s="9"/>
      <c r="C322" s="10"/>
      <c r="D322" s="10"/>
      <c r="E322" s="10"/>
      <c r="F322" s="10"/>
      <c r="G322" s="11"/>
    </row>
    <row r="323" spans="1:7" hidden="1" outlineLevel="1">
      <c r="A323" s="222" t="s">
        <v>478</v>
      </c>
      <c r="B323" s="7" t="s">
        <v>305</v>
      </c>
      <c r="C323" s="7">
        <v>0.5</v>
      </c>
      <c r="D323" s="7">
        <v>0.3</v>
      </c>
      <c r="E323" s="7">
        <v>0.7</v>
      </c>
      <c r="F323" s="7">
        <v>0.4</v>
      </c>
      <c r="G323" s="8"/>
    </row>
    <row r="324" spans="1:7" hidden="1" outlineLevel="1">
      <c r="A324" s="222"/>
      <c r="B324" s="7" t="s">
        <v>306</v>
      </c>
      <c r="C324" s="7">
        <v>0.5</v>
      </c>
      <c r="D324" s="7">
        <v>0.3</v>
      </c>
      <c r="E324" s="7">
        <v>0.7</v>
      </c>
      <c r="F324" s="7">
        <v>0.4</v>
      </c>
      <c r="G324" s="8"/>
    </row>
    <row r="325" spans="1:7" hidden="1" outlineLevel="1">
      <c r="A325" s="222"/>
      <c r="B325" s="7" t="s">
        <v>307</v>
      </c>
      <c r="C325" s="7">
        <v>0.5</v>
      </c>
      <c r="D325" s="7">
        <v>0.3</v>
      </c>
      <c r="E325" s="7">
        <v>0.7</v>
      </c>
      <c r="F325" s="7">
        <v>0.4</v>
      </c>
      <c r="G325" s="8"/>
    </row>
    <row r="326" spans="1:7" hidden="1" outlineLevel="1">
      <c r="A326" s="222"/>
      <c r="B326" s="7" t="s">
        <v>308</v>
      </c>
      <c r="C326" s="7">
        <v>0.5</v>
      </c>
      <c r="D326" s="7">
        <v>0.3</v>
      </c>
      <c r="E326" s="7">
        <v>0.7</v>
      </c>
      <c r="F326" s="7">
        <v>0.4</v>
      </c>
      <c r="G326" s="8"/>
    </row>
    <row r="327" spans="1:7" hidden="1" outlineLevel="1">
      <c r="A327" s="222"/>
      <c r="B327" s="7" t="s">
        <v>309</v>
      </c>
      <c r="C327" s="7">
        <v>0.5</v>
      </c>
      <c r="D327" s="7">
        <v>0.3</v>
      </c>
      <c r="E327" s="7">
        <v>0.7</v>
      </c>
      <c r="F327" s="7">
        <v>0.4</v>
      </c>
      <c r="G327" s="8"/>
    </row>
    <row r="328" spans="1:7" s="40" customFormat="1" ht="18.75" customHeight="1" collapsed="1">
      <c r="A328" s="9" t="s">
        <v>479</v>
      </c>
      <c r="B328" s="9"/>
      <c r="C328" s="10"/>
      <c r="D328" s="10"/>
      <c r="E328" s="10"/>
      <c r="F328" s="10"/>
      <c r="G328" s="11"/>
    </row>
    <row r="329" spans="1:7" hidden="1" outlineLevel="1">
      <c r="A329" s="222" t="s">
        <v>480</v>
      </c>
      <c r="B329" s="7" t="s">
        <v>310</v>
      </c>
      <c r="C329" s="7">
        <v>0.8</v>
      </c>
      <c r="D329" s="7">
        <v>0.45</v>
      </c>
      <c r="E329" s="7">
        <v>1</v>
      </c>
      <c r="F329" s="7">
        <v>0.55000000000000004</v>
      </c>
      <c r="G329" s="8"/>
    </row>
    <row r="330" spans="1:7" hidden="1" outlineLevel="1">
      <c r="A330" s="222"/>
      <c r="B330" s="7" t="s">
        <v>311</v>
      </c>
      <c r="C330" s="7">
        <v>0.8</v>
      </c>
      <c r="D330" s="7">
        <v>0.45</v>
      </c>
      <c r="E330" s="7">
        <v>1</v>
      </c>
      <c r="F330" s="7">
        <v>0.55000000000000004</v>
      </c>
      <c r="G330" s="8" t="s">
        <v>312</v>
      </c>
    </row>
    <row r="331" spans="1:7" hidden="1" outlineLevel="1">
      <c r="A331" s="222"/>
      <c r="B331" s="7" t="s">
        <v>313</v>
      </c>
      <c r="C331" s="7">
        <v>0.8</v>
      </c>
      <c r="D331" s="7">
        <v>0.45</v>
      </c>
      <c r="E331" s="7">
        <v>1</v>
      </c>
      <c r="F331" s="7">
        <v>0.55000000000000004</v>
      </c>
      <c r="G331" s="8" t="s">
        <v>312</v>
      </c>
    </row>
    <row r="332" spans="1:7" hidden="1" outlineLevel="1">
      <c r="A332" s="222"/>
      <c r="B332" s="7" t="s">
        <v>314</v>
      </c>
      <c r="C332" s="7">
        <v>0.8</v>
      </c>
      <c r="D332" s="7">
        <v>0.45</v>
      </c>
      <c r="E332" s="7">
        <v>1</v>
      </c>
      <c r="F332" s="7">
        <v>0.55000000000000004</v>
      </c>
      <c r="G332" s="8"/>
    </row>
    <row r="333" spans="1:7" hidden="1" outlineLevel="1">
      <c r="A333" s="222"/>
      <c r="B333" s="7" t="s">
        <v>315</v>
      </c>
      <c r="C333" s="7">
        <v>0.8</v>
      </c>
      <c r="D333" s="7">
        <v>0.45</v>
      </c>
      <c r="E333" s="7">
        <v>1</v>
      </c>
      <c r="F333" s="7">
        <v>0.55000000000000004</v>
      </c>
      <c r="G333" s="8" t="s">
        <v>312</v>
      </c>
    </row>
    <row r="334" spans="1:7" hidden="1" outlineLevel="1">
      <c r="A334" s="222"/>
      <c r="B334" s="7" t="s">
        <v>316</v>
      </c>
      <c r="C334" s="7">
        <v>0.8</v>
      </c>
      <c r="D334" s="7">
        <v>0.45</v>
      </c>
      <c r="E334" s="7">
        <v>1</v>
      </c>
      <c r="F334" s="7">
        <v>0.55000000000000004</v>
      </c>
      <c r="G334" s="8" t="s">
        <v>312</v>
      </c>
    </row>
    <row r="335" spans="1:7" hidden="1" outlineLevel="1">
      <c r="A335" s="222"/>
      <c r="B335" s="7" t="s">
        <v>317</v>
      </c>
      <c r="C335" s="7">
        <v>0.8</v>
      </c>
      <c r="D335" s="7">
        <v>0.45</v>
      </c>
      <c r="E335" s="7">
        <v>1</v>
      </c>
      <c r="F335" s="7">
        <v>0.55000000000000004</v>
      </c>
      <c r="G335" s="8" t="s">
        <v>312</v>
      </c>
    </row>
    <row r="336" spans="1:7" hidden="1" outlineLevel="1">
      <c r="A336" s="222"/>
      <c r="B336" s="7" t="s">
        <v>318</v>
      </c>
      <c r="C336" s="7">
        <v>0.8</v>
      </c>
      <c r="D336" s="7">
        <v>0.45</v>
      </c>
      <c r="E336" s="7">
        <v>1</v>
      </c>
      <c r="F336" s="7">
        <v>0.55000000000000004</v>
      </c>
      <c r="G336" s="8" t="s">
        <v>312</v>
      </c>
    </row>
    <row r="337" spans="1:7" hidden="1" outlineLevel="1">
      <c r="A337" s="222"/>
      <c r="B337" s="7" t="s">
        <v>319</v>
      </c>
      <c r="C337" s="7">
        <v>0.7</v>
      </c>
      <c r="D337" s="7">
        <v>0.4</v>
      </c>
      <c r="E337" s="7">
        <v>0.9</v>
      </c>
      <c r="F337" s="7">
        <v>0.55000000000000004</v>
      </c>
      <c r="G337" s="8"/>
    </row>
    <row r="338" spans="1:7" hidden="1" outlineLevel="1">
      <c r="A338" s="222"/>
      <c r="B338" s="7" t="s">
        <v>320</v>
      </c>
      <c r="C338" s="7">
        <v>0.6</v>
      </c>
      <c r="D338" s="7">
        <v>0.3</v>
      </c>
      <c r="E338" s="7">
        <v>0.8</v>
      </c>
      <c r="F338" s="7">
        <v>0.45</v>
      </c>
      <c r="G338" s="8"/>
    </row>
    <row r="339" spans="1:7" hidden="1" outlineLevel="1">
      <c r="A339" s="222"/>
      <c r="B339" s="7" t="s">
        <v>321</v>
      </c>
      <c r="C339" s="7">
        <v>0.8</v>
      </c>
      <c r="D339" s="7">
        <v>0.45</v>
      </c>
      <c r="E339" s="7">
        <v>1</v>
      </c>
      <c r="F339" s="7">
        <v>0.55000000000000004</v>
      </c>
      <c r="G339" s="8"/>
    </row>
    <row r="340" spans="1:7" hidden="1" outlineLevel="1">
      <c r="A340" s="222"/>
      <c r="B340" s="7" t="s">
        <v>322</v>
      </c>
      <c r="C340" s="7">
        <v>0.8</v>
      </c>
      <c r="D340" s="7">
        <v>0.45</v>
      </c>
      <c r="E340" s="7">
        <v>1</v>
      </c>
      <c r="F340" s="7">
        <v>0.55000000000000004</v>
      </c>
      <c r="G340" s="8" t="s">
        <v>312</v>
      </c>
    </row>
    <row r="341" spans="1:7" hidden="1" outlineLevel="1">
      <c r="A341" s="222"/>
      <c r="B341" s="7" t="s">
        <v>323</v>
      </c>
      <c r="C341" s="7">
        <v>0.8</v>
      </c>
      <c r="D341" s="7">
        <v>0.45</v>
      </c>
      <c r="E341" s="7">
        <v>1</v>
      </c>
      <c r="F341" s="7">
        <v>0.55000000000000004</v>
      </c>
      <c r="G341" s="8"/>
    </row>
    <row r="342" spans="1:7" hidden="1" outlineLevel="1">
      <c r="A342" s="222"/>
      <c r="B342" s="7" t="s">
        <v>324</v>
      </c>
      <c r="C342" s="7">
        <v>0.7</v>
      </c>
      <c r="D342" s="7">
        <v>0.4</v>
      </c>
      <c r="E342" s="7">
        <v>0.9</v>
      </c>
      <c r="F342" s="7">
        <v>0.5</v>
      </c>
      <c r="G342" s="8"/>
    </row>
    <row r="343" spans="1:7" hidden="1" outlineLevel="1">
      <c r="A343" s="222"/>
      <c r="B343" s="7" t="s">
        <v>325</v>
      </c>
      <c r="C343" s="7">
        <v>0.6</v>
      </c>
      <c r="D343" s="7">
        <v>0.3</v>
      </c>
      <c r="E343" s="7">
        <v>0.8</v>
      </c>
      <c r="F343" s="7">
        <v>0.45</v>
      </c>
      <c r="G343" s="8"/>
    </row>
    <row r="344" spans="1:7" hidden="1" outlineLevel="1">
      <c r="A344" s="222"/>
      <c r="B344" s="7" t="s">
        <v>326</v>
      </c>
      <c r="C344" s="7">
        <v>0.8</v>
      </c>
      <c r="D344" s="7">
        <v>0.4</v>
      </c>
      <c r="E344" s="7">
        <v>0.9</v>
      </c>
      <c r="F344" s="7">
        <v>0.55000000000000004</v>
      </c>
      <c r="G344" s="8"/>
    </row>
    <row r="345" spans="1:7" s="40" customFormat="1" ht="18.75" customHeight="1" collapsed="1">
      <c r="A345" s="9" t="s">
        <v>481</v>
      </c>
      <c r="B345" s="9"/>
      <c r="C345" s="10"/>
      <c r="D345" s="10"/>
      <c r="E345" s="10"/>
      <c r="F345" s="10"/>
      <c r="G345" s="11"/>
    </row>
    <row r="346" spans="1:7" hidden="1" outlineLevel="1">
      <c r="A346" s="222" t="s">
        <v>482</v>
      </c>
      <c r="B346" s="7" t="s">
        <v>327</v>
      </c>
      <c r="C346" s="7">
        <v>0.8</v>
      </c>
      <c r="D346" s="7">
        <v>0.45</v>
      </c>
      <c r="E346" s="7">
        <v>1</v>
      </c>
      <c r="F346" s="7">
        <v>0.55000000000000004</v>
      </c>
      <c r="G346" s="8" t="s">
        <v>312</v>
      </c>
    </row>
    <row r="347" spans="1:7" hidden="1" outlineLevel="1">
      <c r="A347" s="222"/>
      <c r="B347" s="7" t="s">
        <v>328</v>
      </c>
      <c r="C347" s="7">
        <v>0.8</v>
      </c>
      <c r="D347" s="7">
        <v>0.45</v>
      </c>
      <c r="E347" s="7">
        <v>1</v>
      </c>
      <c r="F347" s="7">
        <v>0.55000000000000004</v>
      </c>
      <c r="G347" s="8" t="s">
        <v>312</v>
      </c>
    </row>
    <row r="348" spans="1:7" hidden="1" outlineLevel="1">
      <c r="A348" s="222"/>
      <c r="B348" s="7" t="s">
        <v>329</v>
      </c>
      <c r="C348" s="7">
        <v>0.8</v>
      </c>
      <c r="D348" s="7">
        <v>0.45</v>
      </c>
      <c r="E348" s="7">
        <v>1</v>
      </c>
      <c r="F348" s="7">
        <v>0.55000000000000004</v>
      </c>
      <c r="G348" s="8" t="s">
        <v>312</v>
      </c>
    </row>
    <row r="349" spans="1:7" hidden="1" outlineLevel="1">
      <c r="A349" s="222"/>
      <c r="B349" s="7" t="s">
        <v>330</v>
      </c>
      <c r="C349" s="7">
        <v>0.8</v>
      </c>
      <c r="D349" s="7">
        <v>0.45</v>
      </c>
      <c r="E349" s="7">
        <v>1</v>
      </c>
      <c r="F349" s="7">
        <v>0.55000000000000004</v>
      </c>
      <c r="G349" s="8" t="s">
        <v>312</v>
      </c>
    </row>
    <row r="350" spans="1:7" hidden="1" outlineLevel="1">
      <c r="A350" s="222"/>
      <c r="B350" s="7" t="s">
        <v>331</v>
      </c>
      <c r="C350" s="7">
        <v>0.8</v>
      </c>
      <c r="D350" s="7">
        <v>0.45</v>
      </c>
      <c r="E350" s="7">
        <v>1</v>
      </c>
      <c r="F350" s="7">
        <v>0.55000000000000004</v>
      </c>
      <c r="G350" s="8" t="s">
        <v>312</v>
      </c>
    </row>
    <row r="351" spans="1:7" hidden="1" outlineLevel="1">
      <c r="A351" s="222"/>
      <c r="B351" s="7" t="s">
        <v>332</v>
      </c>
      <c r="C351" s="7">
        <v>0.8</v>
      </c>
      <c r="D351" s="7">
        <v>0.45</v>
      </c>
      <c r="E351" s="7">
        <v>1</v>
      </c>
      <c r="F351" s="7">
        <v>0.55000000000000004</v>
      </c>
      <c r="G351" s="8" t="s">
        <v>312</v>
      </c>
    </row>
    <row r="352" spans="1:7" hidden="1" outlineLevel="1">
      <c r="A352" s="222"/>
      <c r="B352" s="7" t="s">
        <v>333</v>
      </c>
      <c r="C352" s="7">
        <v>0.8</v>
      </c>
      <c r="D352" s="7">
        <v>0.45</v>
      </c>
      <c r="E352" s="7">
        <v>1</v>
      </c>
      <c r="F352" s="7">
        <v>0.55000000000000004</v>
      </c>
      <c r="G352" s="8" t="s">
        <v>312</v>
      </c>
    </row>
    <row r="353" spans="1:7" hidden="1" outlineLevel="1">
      <c r="A353" s="222"/>
      <c r="B353" s="7" t="s">
        <v>334</v>
      </c>
      <c r="C353" s="7">
        <v>0.8</v>
      </c>
      <c r="D353" s="7">
        <v>0.45</v>
      </c>
      <c r="E353" s="7">
        <v>1</v>
      </c>
      <c r="F353" s="7">
        <v>0.55000000000000004</v>
      </c>
      <c r="G353" s="8" t="s">
        <v>312</v>
      </c>
    </row>
    <row r="354" spans="1:7" hidden="1" outlineLevel="1">
      <c r="A354" s="222"/>
      <c r="B354" s="7" t="s">
        <v>335</v>
      </c>
      <c r="C354" s="7">
        <v>0.8</v>
      </c>
      <c r="D354" s="7">
        <v>0.45</v>
      </c>
      <c r="E354" s="7">
        <v>1</v>
      </c>
      <c r="F354" s="7">
        <v>0.55000000000000004</v>
      </c>
      <c r="G354" s="8" t="s">
        <v>312</v>
      </c>
    </row>
    <row r="355" spans="1:7" hidden="1" outlineLevel="1">
      <c r="A355" s="222"/>
      <c r="B355" s="7" t="s">
        <v>336</v>
      </c>
      <c r="C355" s="7">
        <v>0.8</v>
      </c>
      <c r="D355" s="7">
        <v>0.45</v>
      </c>
      <c r="E355" s="7">
        <v>1</v>
      </c>
      <c r="F355" s="7">
        <v>0.55000000000000004</v>
      </c>
      <c r="G355" s="8" t="s">
        <v>312</v>
      </c>
    </row>
    <row r="356" spans="1:7" hidden="1" outlineLevel="1">
      <c r="A356" s="222"/>
      <c r="B356" s="7" t="s">
        <v>337</v>
      </c>
      <c r="C356" s="7">
        <v>0.8</v>
      </c>
      <c r="D356" s="7">
        <v>0.45</v>
      </c>
      <c r="E356" s="7">
        <v>1</v>
      </c>
      <c r="F356" s="7">
        <v>0.55000000000000004</v>
      </c>
      <c r="G356" s="8" t="s">
        <v>312</v>
      </c>
    </row>
    <row r="357" spans="1:7" hidden="1" outlineLevel="1">
      <c r="A357" s="222"/>
      <c r="B357" s="7" t="s">
        <v>338</v>
      </c>
      <c r="C357" s="7">
        <v>0.8</v>
      </c>
      <c r="D357" s="7">
        <v>0.45</v>
      </c>
      <c r="E357" s="7">
        <v>1</v>
      </c>
      <c r="F357" s="7">
        <v>0.55000000000000004</v>
      </c>
      <c r="G357" s="8" t="s">
        <v>312</v>
      </c>
    </row>
    <row r="358" spans="1:7" hidden="1" outlineLevel="1">
      <c r="A358" s="222"/>
      <c r="B358" s="7" t="s">
        <v>339</v>
      </c>
      <c r="C358" s="7">
        <v>0.8</v>
      </c>
      <c r="D358" s="7">
        <v>0.45</v>
      </c>
      <c r="E358" s="7">
        <v>1</v>
      </c>
      <c r="F358" s="7">
        <v>0.55000000000000004</v>
      </c>
      <c r="G358" s="8" t="s">
        <v>312</v>
      </c>
    </row>
    <row r="359" spans="1:7" s="40" customFormat="1" ht="18.75" customHeight="1" collapsed="1">
      <c r="A359" s="9" t="s">
        <v>483</v>
      </c>
      <c r="B359" s="9"/>
      <c r="C359" s="10"/>
      <c r="D359" s="10"/>
      <c r="E359" s="10"/>
      <c r="F359" s="10"/>
      <c r="G359" s="11"/>
    </row>
    <row r="360" spans="1:7" hidden="1" outlineLevel="1">
      <c r="A360" s="12" t="s">
        <v>484</v>
      </c>
      <c r="B360" s="7" t="s">
        <v>340</v>
      </c>
      <c r="C360" s="7">
        <v>0.5</v>
      </c>
      <c r="D360" s="7">
        <v>0.3</v>
      </c>
      <c r="E360" s="7">
        <v>0.7</v>
      </c>
      <c r="F360" s="7">
        <v>0.4</v>
      </c>
      <c r="G360" s="8"/>
    </row>
    <row r="361" spans="1:7" collapsed="1"/>
  </sheetData>
  <mergeCells count="22">
    <mergeCell ref="A166:A185"/>
    <mergeCell ref="A3:A20"/>
    <mergeCell ref="A22:A28"/>
    <mergeCell ref="A30:A41"/>
    <mergeCell ref="A43:A55"/>
    <mergeCell ref="A57:A69"/>
    <mergeCell ref="A71:A73"/>
    <mergeCell ref="A75:A92"/>
    <mergeCell ref="A94:A114"/>
    <mergeCell ref="A116:A123"/>
    <mergeCell ref="A125:A150"/>
    <mergeCell ref="A152:A164"/>
    <mergeCell ref="A289:A321"/>
    <mergeCell ref="A323:A327"/>
    <mergeCell ref="A329:A344"/>
    <mergeCell ref="A346:A358"/>
    <mergeCell ref="A187:A204"/>
    <mergeCell ref="A206:A207"/>
    <mergeCell ref="A209:A239"/>
    <mergeCell ref="A241:A247"/>
    <mergeCell ref="A249:A275"/>
    <mergeCell ref="A277:A287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80" zoomScaleNormal="80" workbookViewId="0">
      <selection activeCell="A4" sqref="A4"/>
    </sheetView>
  </sheetViews>
  <sheetFormatPr defaultColWidth="9" defaultRowHeight="16.5" customHeight="1"/>
  <cols>
    <col min="1" max="1" width="23.75" style="2" customWidth="1"/>
    <col min="2" max="2" width="33.625" style="2" customWidth="1"/>
    <col min="3" max="3" width="4.5" style="2" bestFit="1" customWidth="1"/>
    <col min="4" max="4" width="16.25" style="2" bestFit="1" customWidth="1"/>
    <col min="5" max="16384" width="9" style="2"/>
  </cols>
  <sheetData>
    <row r="1" spans="1:4" ht="16.5" customHeight="1" thickBot="1">
      <c r="A1" s="15" t="s">
        <v>356</v>
      </c>
      <c r="B1" s="16" t="s">
        <v>357</v>
      </c>
      <c r="C1" s="16" t="s">
        <v>358</v>
      </c>
      <c r="D1" s="1" t="s">
        <v>362</v>
      </c>
    </row>
    <row r="2" spans="1:4" ht="16.5" customHeight="1">
      <c r="A2" s="17" t="s">
        <v>382</v>
      </c>
      <c r="B2" s="18" t="s">
        <v>384</v>
      </c>
      <c r="C2" s="18"/>
      <c r="D2" s="19"/>
    </row>
    <row r="3" spans="1:4" ht="16.5" customHeight="1">
      <c r="A3" s="17"/>
      <c r="B3" s="18" t="s">
        <v>385</v>
      </c>
      <c r="C3" s="18">
        <v>3.2</v>
      </c>
      <c r="D3" s="19">
        <v>20</v>
      </c>
    </row>
    <row r="4" spans="1:4" ht="16.5" customHeight="1">
      <c r="A4" s="17"/>
      <c r="B4" s="18" t="s">
        <v>386</v>
      </c>
      <c r="C4" s="18">
        <v>2.4</v>
      </c>
      <c r="D4" s="19">
        <v>20</v>
      </c>
    </row>
    <row r="5" spans="1:4" ht="16.5" customHeight="1">
      <c r="A5" s="17"/>
      <c r="B5" s="18" t="s">
        <v>387</v>
      </c>
      <c r="C5" s="18"/>
      <c r="D5" s="19"/>
    </row>
    <row r="6" spans="1:4" ht="16.5" customHeight="1">
      <c r="A6" s="17"/>
      <c r="B6" s="18" t="s">
        <v>388</v>
      </c>
      <c r="C6" s="18">
        <v>3.3</v>
      </c>
      <c r="D6" s="19">
        <v>50</v>
      </c>
    </row>
    <row r="7" spans="1:4" ht="16.5" customHeight="1">
      <c r="A7" s="17"/>
      <c r="B7" s="18" t="s">
        <v>389</v>
      </c>
      <c r="C7" s="18">
        <v>2</v>
      </c>
      <c r="D7" s="19">
        <v>20</v>
      </c>
    </row>
    <row r="8" spans="1:4" ht="16.5" customHeight="1">
      <c r="A8" s="17"/>
      <c r="B8" s="18" t="s">
        <v>390</v>
      </c>
      <c r="C8" s="18">
        <v>1.6</v>
      </c>
      <c r="D8" s="19">
        <v>20</v>
      </c>
    </row>
    <row r="9" spans="1:4" ht="16.5" customHeight="1">
      <c r="A9" s="17"/>
      <c r="B9" s="18" t="s">
        <v>391</v>
      </c>
      <c r="C9" s="18"/>
      <c r="D9" s="19"/>
    </row>
    <row r="10" spans="1:4" ht="16.5" customHeight="1">
      <c r="A10" s="17"/>
      <c r="B10" s="18" t="s">
        <v>364</v>
      </c>
      <c r="C10" s="18">
        <v>3</v>
      </c>
      <c r="D10" s="19">
        <v>50</v>
      </c>
    </row>
    <row r="11" spans="1:4" ht="16.5" customHeight="1">
      <c r="A11" s="17"/>
      <c r="B11" s="18" t="s">
        <v>392</v>
      </c>
      <c r="C11" s="18">
        <v>1.6</v>
      </c>
      <c r="D11" s="19">
        <v>20</v>
      </c>
    </row>
    <row r="12" spans="1:4" ht="16.5" customHeight="1">
      <c r="A12" s="17"/>
      <c r="B12" s="18"/>
      <c r="C12" s="18"/>
      <c r="D12" s="19"/>
    </row>
    <row r="13" spans="1:4" ht="16.5" customHeight="1">
      <c r="A13" s="17"/>
      <c r="B13" s="18"/>
      <c r="C13" s="18"/>
      <c r="D13" s="19"/>
    </row>
    <row r="14" spans="1:4" ht="16.5" customHeight="1">
      <c r="A14" s="17" t="s">
        <v>383</v>
      </c>
      <c r="B14" s="18" t="s">
        <v>393</v>
      </c>
      <c r="C14" s="18">
        <v>4.2</v>
      </c>
      <c r="D14" s="19">
        <v>75</v>
      </c>
    </row>
    <row r="15" spans="1:4" ht="16.5" customHeight="1">
      <c r="A15" s="17"/>
      <c r="B15" s="18" t="s">
        <v>394</v>
      </c>
      <c r="C15" s="18"/>
      <c r="D15" s="19"/>
    </row>
    <row r="16" spans="1:4" ht="16.5" customHeight="1">
      <c r="A16" s="17"/>
      <c r="B16" s="18" t="s">
        <v>402</v>
      </c>
      <c r="C16" s="18">
        <v>3.6</v>
      </c>
      <c r="D16" s="19">
        <v>20</v>
      </c>
    </row>
    <row r="17" spans="1:4" ht="16.5" customHeight="1">
      <c r="A17" s="17"/>
      <c r="B17" s="18" t="s">
        <v>403</v>
      </c>
      <c r="C17" s="18">
        <v>2.8</v>
      </c>
      <c r="D17" s="19">
        <v>20</v>
      </c>
    </row>
    <row r="18" spans="1:4" ht="16.5" customHeight="1">
      <c r="A18" s="17"/>
      <c r="B18" s="18" t="s">
        <v>395</v>
      </c>
      <c r="C18" s="18"/>
      <c r="D18" s="19"/>
    </row>
    <row r="19" spans="1:4" ht="16.5" customHeight="1">
      <c r="A19" s="17"/>
      <c r="B19" s="18" t="s">
        <v>396</v>
      </c>
      <c r="C19" s="18">
        <v>4</v>
      </c>
      <c r="D19" s="19">
        <v>50</v>
      </c>
    </row>
    <row r="20" spans="1:4" ht="16.5" customHeight="1">
      <c r="A20" s="17"/>
      <c r="B20" s="18" t="s">
        <v>397</v>
      </c>
      <c r="C20" s="18">
        <v>3.6</v>
      </c>
      <c r="D20" s="19">
        <v>50</v>
      </c>
    </row>
    <row r="21" spans="1:4" ht="16.5" customHeight="1">
      <c r="A21" s="17"/>
      <c r="B21" s="18" t="s">
        <v>398</v>
      </c>
      <c r="C21" s="18">
        <v>3.2</v>
      </c>
      <c r="D21" s="19">
        <v>50</v>
      </c>
    </row>
    <row r="22" spans="1:4" ht="16.5" customHeight="1">
      <c r="A22" s="17"/>
      <c r="B22" s="18" t="s">
        <v>399</v>
      </c>
      <c r="C22" s="18">
        <v>3.6</v>
      </c>
      <c r="D22" s="19">
        <v>50</v>
      </c>
    </row>
    <row r="23" spans="1:4" ht="16.5" customHeight="1">
      <c r="A23" s="17"/>
      <c r="B23" s="18" t="s">
        <v>400</v>
      </c>
      <c r="C23" s="18">
        <v>4.2</v>
      </c>
      <c r="D23" s="19">
        <v>75</v>
      </c>
    </row>
    <row r="24" spans="1:4" ht="16.5" customHeight="1">
      <c r="A24" s="17"/>
      <c r="B24" s="18" t="s">
        <v>401</v>
      </c>
      <c r="C24" s="18">
        <v>3.6</v>
      </c>
      <c r="D24" s="19">
        <v>50</v>
      </c>
    </row>
    <row r="25" spans="1:4" ht="16.5" customHeight="1" thickBot="1">
      <c r="A25" s="22"/>
      <c r="B25" s="20"/>
      <c r="C25" s="20"/>
      <c r="D25" s="23"/>
    </row>
    <row r="26" spans="1:4" ht="16.5" customHeight="1">
      <c r="A26" s="17" t="s">
        <v>359</v>
      </c>
      <c r="B26" s="18" t="s">
        <v>363</v>
      </c>
      <c r="C26" s="18"/>
      <c r="D26" s="19"/>
    </row>
    <row r="27" spans="1:4" ht="16.5" customHeight="1">
      <c r="A27" s="17"/>
      <c r="B27" s="18" t="s">
        <v>364</v>
      </c>
      <c r="C27" s="18">
        <v>4.8</v>
      </c>
      <c r="D27" s="19" t="s">
        <v>361</v>
      </c>
    </row>
    <row r="28" spans="1:4" ht="16.5" customHeight="1">
      <c r="A28" s="17"/>
      <c r="B28" s="18" t="s">
        <v>365</v>
      </c>
      <c r="C28" s="18">
        <v>4.8</v>
      </c>
      <c r="D28" s="19" t="s">
        <v>361</v>
      </c>
    </row>
    <row r="29" spans="1:4" ht="16.5" customHeight="1">
      <c r="A29" s="17"/>
      <c r="B29" s="18" t="s">
        <v>366</v>
      </c>
      <c r="C29" s="18">
        <v>4.8</v>
      </c>
      <c r="D29" s="19" t="s">
        <v>361</v>
      </c>
    </row>
    <row r="30" spans="1:4" ht="16.5" customHeight="1">
      <c r="A30" s="17"/>
      <c r="B30" s="18" t="s">
        <v>367</v>
      </c>
      <c r="C30" s="18">
        <v>4</v>
      </c>
      <c r="D30" s="19" t="s">
        <v>361</v>
      </c>
    </row>
    <row r="31" spans="1:4" ht="16.5" customHeight="1">
      <c r="A31" s="17"/>
      <c r="B31" s="18" t="s">
        <v>368</v>
      </c>
      <c r="C31" s="18"/>
      <c r="D31" s="19"/>
    </row>
    <row r="32" spans="1:4" ht="16.5" customHeight="1">
      <c r="A32" s="17"/>
      <c r="B32" s="18" t="s">
        <v>364</v>
      </c>
      <c r="C32" s="18">
        <v>3.2</v>
      </c>
      <c r="D32" s="19">
        <v>50</v>
      </c>
    </row>
    <row r="33" spans="1:4" ht="16.5" customHeight="1">
      <c r="A33" s="17"/>
      <c r="B33" s="18" t="s">
        <v>369</v>
      </c>
      <c r="C33" s="18">
        <v>3.2</v>
      </c>
      <c r="D33" s="19">
        <v>50</v>
      </c>
    </row>
    <row r="34" spans="1:4" ht="16.5" customHeight="1">
      <c r="A34" s="17"/>
      <c r="B34" s="18" t="s">
        <v>370</v>
      </c>
      <c r="C34" s="18">
        <v>4</v>
      </c>
      <c r="D34" s="19">
        <v>50</v>
      </c>
    </row>
    <row r="35" spans="1:4" ht="16.5" customHeight="1">
      <c r="A35" s="17"/>
      <c r="B35" s="18"/>
      <c r="C35" s="18"/>
      <c r="D35" s="19"/>
    </row>
    <row r="36" spans="1:4" ht="16.5" customHeight="1">
      <c r="A36" s="17" t="s">
        <v>360</v>
      </c>
      <c r="B36" s="18"/>
      <c r="C36" s="18"/>
      <c r="D36" s="19"/>
    </row>
    <row r="37" spans="1:4" ht="16.5" customHeight="1">
      <c r="A37" s="3"/>
      <c r="B37" s="18" t="s">
        <v>371</v>
      </c>
      <c r="C37" s="18"/>
      <c r="D37" s="19"/>
    </row>
    <row r="38" spans="1:4" ht="16.5" customHeight="1">
      <c r="A38" s="3"/>
      <c r="B38" s="18" t="s">
        <v>372</v>
      </c>
      <c r="C38" s="18">
        <v>4.8</v>
      </c>
      <c r="D38" s="19" t="s">
        <v>361</v>
      </c>
    </row>
    <row r="39" spans="1:4" ht="16.5" customHeight="1">
      <c r="A39" s="3"/>
      <c r="B39" s="18" t="s">
        <v>373</v>
      </c>
      <c r="C39" s="18">
        <v>4</v>
      </c>
      <c r="D39" s="19" t="s">
        <v>361</v>
      </c>
    </row>
    <row r="40" spans="1:4" ht="16.5" customHeight="1">
      <c r="A40" s="3"/>
      <c r="B40" s="18" t="s">
        <v>374</v>
      </c>
      <c r="C40" s="18">
        <v>4.8</v>
      </c>
      <c r="D40" s="19" t="s">
        <v>361</v>
      </c>
    </row>
    <row r="41" spans="1:4" ht="16.5" customHeight="1">
      <c r="A41" s="3"/>
      <c r="B41" s="18" t="s">
        <v>375</v>
      </c>
      <c r="C41" s="18">
        <v>4</v>
      </c>
      <c r="D41" s="19" t="s">
        <v>361</v>
      </c>
    </row>
    <row r="42" spans="1:4" ht="16.5" customHeight="1">
      <c r="A42" s="3"/>
      <c r="B42" s="18" t="s">
        <v>376</v>
      </c>
      <c r="C42" s="18">
        <v>3.2</v>
      </c>
      <c r="D42" s="19">
        <v>50</v>
      </c>
    </row>
    <row r="43" spans="1:4" ht="16.5" customHeight="1">
      <c r="A43" s="3"/>
      <c r="B43" s="18" t="s">
        <v>377</v>
      </c>
      <c r="C43" s="18"/>
      <c r="D43" s="19"/>
    </row>
    <row r="44" spans="1:4" ht="16.5" customHeight="1">
      <c r="A44" s="3"/>
      <c r="B44" s="18" t="s">
        <v>378</v>
      </c>
      <c r="C44" s="18">
        <v>4.8</v>
      </c>
      <c r="D44" s="19" t="s">
        <v>361</v>
      </c>
    </row>
    <row r="45" spans="1:4" ht="16.5" customHeight="1">
      <c r="A45" s="3"/>
      <c r="B45" s="18" t="s">
        <v>379</v>
      </c>
      <c r="C45" s="18">
        <v>4.8</v>
      </c>
      <c r="D45" s="19" t="s">
        <v>361</v>
      </c>
    </row>
    <row r="46" spans="1:4" ht="16.5" customHeight="1">
      <c r="A46" s="3"/>
      <c r="B46" s="18" t="s">
        <v>380</v>
      </c>
      <c r="C46" s="18">
        <v>4</v>
      </c>
      <c r="D46" s="19" t="s">
        <v>361</v>
      </c>
    </row>
    <row r="47" spans="1:4" ht="16.5" customHeight="1">
      <c r="A47" s="3"/>
      <c r="B47" s="18" t="s">
        <v>381</v>
      </c>
      <c r="C47" s="18">
        <v>4</v>
      </c>
      <c r="D47" s="19" t="s">
        <v>361</v>
      </c>
    </row>
    <row r="48" spans="1:4" ht="16.5" customHeight="1" thickBot="1">
      <c r="A48" s="4"/>
      <c r="B48" s="20"/>
      <c r="C48" s="21"/>
      <c r="D48" s="2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70" zoomScaleNormal="70" workbookViewId="0">
      <selection activeCell="I110" sqref="I110"/>
    </sheetView>
  </sheetViews>
  <sheetFormatPr defaultColWidth="9" defaultRowHeight="15.75" outlineLevelRow="1"/>
  <cols>
    <col min="1" max="1" width="42.875" style="24" customWidth="1"/>
    <col min="2" max="5" width="9" style="24"/>
    <col min="6" max="6" width="9.375" style="24" bestFit="1" customWidth="1"/>
    <col min="7" max="7" width="7.5" style="24" bestFit="1" customWidth="1"/>
    <col min="8" max="8" width="9" style="44"/>
    <col min="9" max="16384" width="9" style="24"/>
  </cols>
  <sheetData>
    <row r="1" spans="1:8" s="43" customFormat="1" ht="16.5">
      <c r="A1" s="42" t="s">
        <v>410</v>
      </c>
    </row>
    <row r="2" spans="1:8" ht="17.25" hidden="1" outlineLevel="1" thickBot="1">
      <c r="A2" s="35" t="s">
        <v>411</v>
      </c>
      <c r="H2" s="34"/>
    </row>
    <row r="3" spans="1:8" ht="32.25" hidden="1" outlineLevel="1" thickBot="1">
      <c r="A3" s="227" t="s">
        <v>438</v>
      </c>
      <c r="B3" s="29" t="s">
        <v>420</v>
      </c>
      <c r="C3" s="30" t="s">
        <v>421</v>
      </c>
      <c r="D3" s="30" t="s">
        <v>422</v>
      </c>
      <c r="E3" s="30" t="s">
        <v>423</v>
      </c>
      <c r="F3" s="29" t="s">
        <v>424</v>
      </c>
      <c r="H3" s="34"/>
    </row>
    <row r="4" spans="1:8" ht="16.5" hidden="1" outlineLevel="1" thickBot="1">
      <c r="A4" s="228"/>
      <c r="B4" s="31">
        <v>1.23</v>
      </c>
      <c r="C4" s="31">
        <v>1.1599999999999999</v>
      </c>
      <c r="D4" s="31">
        <v>1.07</v>
      </c>
      <c r="E4" s="31">
        <v>1.03</v>
      </c>
      <c r="F4" s="31">
        <v>1</v>
      </c>
      <c r="H4" s="34">
        <f>IF(Sheet4!$E$23&lt;=2,'Near Fault'!B4,IF(AND(Sheet4!$E$23&gt;2,Sheet4!$E$23&lt;=5),'Near Fault'!C4,IF(AND(Sheet4!$E$23&gt;5,Sheet4!$E$23&lt;=8),D4,IF(AND(Sheet4!$E$23&gt;8,Sheet4!$E$23&lt;=12),'Near Fault'!E4,'Near Fault'!F4))))</f>
        <v>1</v>
      </c>
    </row>
    <row r="5" spans="1:8" ht="33" hidden="1" outlineLevel="1" thickTop="1" thickBot="1">
      <c r="A5" s="229" t="s">
        <v>439</v>
      </c>
      <c r="B5" s="32" t="s">
        <v>420</v>
      </c>
      <c r="C5" s="33" t="s">
        <v>421</v>
      </c>
      <c r="D5" s="33" t="s">
        <v>422</v>
      </c>
      <c r="E5" s="33" t="s">
        <v>423</v>
      </c>
      <c r="F5" s="32" t="s">
        <v>424</v>
      </c>
      <c r="H5" s="34"/>
    </row>
    <row r="6" spans="1:8" ht="16.5" hidden="1" outlineLevel="1" thickBot="1">
      <c r="A6" s="230"/>
      <c r="B6" s="33">
        <v>1.36</v>
      </c>
      <c r="C6" s="33">
        <v>1.32</v>
      </c>
      <c r="D6" s="33">
        <v>1.22</v>
      </c>
      <c r="E6" s="33">
        <v>1.1000000000000001</v>
      </c>
      <c r="F6" s="33">
        <v>1</v>
      </c>
      <c r="H6" s="34">
        <f>IF(Sheet4!$E$23&lt;=2,'Near Fault'!B6,IF(AND(Sheet4!$E$23&gt;2,Sheet4!$E$23&lt;=5),'Near Fault'!C6,IF(AND(Sheet4!$E$23&gt;5,Sheet4!$E$23&lt;=8),D6,IF(AND(Sheet4!$E$23&gt;8,Sheet4!$E$23&lt;=12),'Near Fault'!E6,'Near Fault'!F6))))</f>
        <v>1</v>
      </c>
    </row>
    <row r="7" spans="1:8" ht="17.25" hidden="1" outlineLevel="1" thickBot="1">
      <c r="A7" s="35" t="s">
        <v>412</v>
      </c>
      <c r="H7" s="34"/>
    </row>
    <row r="8" spans="1:8" ht="32.25" hidden="1" outlineLevel="1" thickBot="1">
      <c r="A8" s="227" t="s">
        <v>438</v>
      </c>
      <c r="B8" s="29" t="s">
        <v>420</v>
      </c>
      <c r="C8" s="30" t="s">
        <v>421</v>
      </c>
      <c r="D8" s="30" t="s">
        <v>422</v>
      </c>
      <c r="E8" s="30" t="s">
        <v>423</v>
      </c>
      <c r="F8" s="29" t="s">
        <v>424</v>
      </c>
      <c r="H8" s="34"/>
    </row>
    <row r="9" spans="1:8" ht="16.5" hidden="1" outlineLevel="1" thickBot="1">
      <c r="A9" s="228"/>
      <c r="B9" s="31">
        <v>1.25</v>
      </c>
      <c r="C9" s="31">
        <v>1.2</v>
      </c>
      <c r="D9" s="31">
        <v>1.1000000000000001</v>
      </c>
      <c r="E9" s="31">
        <v>1.03</v>
      </c>
      <c r="F9" s="31">
        <v>1</v>
      </c>
      <c r="H9" s="34">
        <f>IF(Sheet4!$E$23&lt;=2,'Near Fault'!B9,IF(AND(Sheet4!$E$23&gt;2,Sheet4!$E$23&lt;=5),'Near Fault'!C9,IF(AND(Sheet4!$E$23&gt;5,Sheet4!$E$23&lt;=8),D9,IF(AND(Sheet4!$E$23&gt;8,Sheet4!$E$23&lt;=12),'Near Fault'!E9,'Near Fault'!F9))))</f>
        <v>1</v>
      </c>
    </row>
    <row r="10" spans="1:8" ht="33" hidden="1" outlineLevel="1" thickTop="1" thickBot="1">
      <c r="A10" s="229" t="s">
        <v>439</v>
      </c>
      <c r="B10" s="32" t="s">
        <v>420</v>
      </c>
      <c r="C10" s="33" t="s">
        <v>421</v>
      </c>
      <c r="D10" s="33" t="s">
        <v>422</v>
      </c>
      <c r="E10" s="33" t="s">
        <v>423</v>
      </c>
      <c r="F10" s="32" t="s">
        <v>424</v>
      </c>
      <c r="H10" s="34"/>
    </row>
    <row r="11" spans="1:8" ht="16.5" hidden="1" outlineLevel="1" thickBot="1">
      <c r="A11" s="230"/>
      <c r="B11" s="33">
        <v>1.5</v>
      </c>
      <c r="C11" s="33">
        <v>1.45</v>
      </c>
      <c r="D11" s="33">
        <v>1.3</v>
      </c>
      <c r="E11" s="33">
        <v>1.1499999999999999</v>
      </c>
      <c r="F11" s="33">
        <v>1</v>
      </c>
      <c r="H11" s="34">
        <f>IF(Sheet4!$E$23&lt;=2,'Near Fault'!B11,IF(AND(Sheet4!$E$23&gt;2,Sheet4!$E$23&lt;=5),'Near Fault'!C11,IF(AND(Sheet4!$E$23&gt;5,Sheet4!$E$23&lt;=8),D11,IF(AND(Sheet4!$E$23&gt;8,Sheet4!$E$23&lt;=12),'Near Fault'!E11,'Near Fault'!F11))))</f>
        <v>1</v>
      </c>
    </row>
    <row r="12" spans="1:8" ht="16.5" hidden="1" outlineLevel="1">
      <c r="A12" s="35"/>
      <c r="H12" s="34"/>
    </row>
    <row r="13" spans="1:8" s="43" customFormat="1" ht="16.5" collapsed="1">
      <c r="A13" s="42" t="s">
        <v>413</v>
      </c>
    </row>
    <row r="14" spans="1:8" ht="17.25" hidden="1" outlineLevel="1" thickBot="1">
      <c r="A14" s="35" t="s">
        <v>411</v>
      </c>
      <c r="H14" s="34"/>
    </row>
    <row r="15" spans="1:8" ht="32.25" hidden="1" outlineLevel="1" thickBot="1">
      <c r="A15" s="227" t="s">
        <v>438</v>
      </c>
      <c r="B15" s="29" t="s">
        <v>420</v>
      </c>
      <c r="C15" s="30" t="s">
        <v>421</v>
      </c>
      <c r="D15" s="30" t="s">
        <v>422</v>
      </c>
      <c r="E15" s="29" t="s">
        <v>426</v>
      </c>
      <c r="H15" s="34"/>
    </row>
    <row r="16" spans="1:8" ht="16.5" hidden="1" outlineLevel="1" thickBot="1">
      <c r="A16" s="228"/>
      <c r="B16" s="31">
        <v>1.28</v>
      </c>
      <c r="C16" s="31">
        <v>1.2</v>
      </c>
      <c r="D16" s="31">
        <v>1.1000000000000001</v>
      </c>
      <c r="E16" s="31">
        <v>1</v>
      </c>
      <c r="H16" s="34">
        <f>IF(Sheet4!$E$23&lt;=2,'Near Fault'!B16,IF(AND(Sheet4!$E$23&gt;2,Sheet4!$E$23&lt;=5),'Near Fault'!C16,IF(AND(Sheet4!$E$23&gt;5,Sheet4!$E$23&lt;=8),D16,'Near Fault'!E16)))</f>
        <v>1</v>
      </c>
    </row>
    <row r="17" spans="1:8" ht="33" hidden="1" outlineLevel="1" thickTop="1" thickBot="1">
      <c r="A17" s="229" t="s">
        <v>439</v>
      </c>
      <c r="B17" s="32" t="s">
        <v>420</v>
      </c>
      <c r="C17" s="33" t="s">
        <v>421</v>
      </c>
      <c r="D17" s="33" t="s">
        <v>422</v>
      </c>
      <c r="E17" s="32" t="s">
        <v>426</v>
      </c>
      <c r="H17" s="34"/>
    </row>
    <row r="18" spans="1:8" ht="16.5" hidden="1" outlineLevel="1" thickBot="1">
      <c r="A18" s="230"/>
      <c r="B18" s="33">
        <v>1.33</v>
      </c>
      <c r="C18" s="33">
        <v>1.27</v>
      </c>
      <c r="D18" s="33">
        <v>1.1000000000000001</v>
      </c>
      <c r="E18" s="33">
        <v>1</v>
      </c>
      <c r="H18" s="34">
        <f>IF(Sheet4!$E$23&lt;=2,'Near Fault'!B18,IF(AND(Sheet4!$E$23&gt;2,Sheet4!$E$23&lt;=5),'Near Fault'!C18,IF(AND(Sheet4!$E$23&gt;5,Sheet4!$E$23&lt;=8),D18,'Near Fault'!E18)))</f>
        <v>1</v>
      </c>
    </row>
    <row r="19" spans="1:8" ht="17.25" hidden="1" outlineLevel="1" thickBot="1">
      <c r="A19" s="35" t="s">
        <v>412</v>
      </c>
      <c r="H19" s="34"/>
    </row>
    <row r="20" spans="1:8" ht="32.25" hidden="1" outlineLevel="1" thickBot="1">
      <c r="A20" s="227" t="s">
        <v>438</v>
      </c>
      <c r="B20" s="29" t="s">
        <v>420</v>
      </c>
      <c r="C20" s="30" t="s">
        <v>421</v>
      </c>
      <c r="D20" s="30" t="s">
        <v>422</v>
      </c>
      <c r="E20" s="29" t="s">
        <v>426</v>
      </c>
      <c r="H20" s="34"/>
    </row>
    <row r="21" spans="1:8" ht="16.5" hidden="1" outlineLevel="1" thickBot="1">
      <c r="A21" s="228"/>
      <c r="B21" s="31">
        <v>1.26</v>
      </c>
      <c r="C21" s="31">
        <v>1.18</v>
      </c>
      <c r="D21" s="31">
        <v>1.05</v>
      </c>
      <c r="E21" s="31">
        <v>1</v>
      </c>
      <c r="H21" s="34">
        <f>IF(Sheet4!$E$23&lt;=2,'Near Fault'!B21,IF(AND(Sheet4!$E$23&gt;2,Sheet4!$E$23&lt;=5),'Near Fault'!C21,IF(AND(Sheet4!$E$23&gt;5,Sheet4!$E$23&lt;=8),D21,'Near Fault'!E21)))</f>
        <v>1</v>
      </c>
    </row>
    <row r="22" spans="1:8" ht="33" hidden="1" outlineLevel="1" thickTop="1" thickBot="1">
      <c r="A22" s="229" t="s">
        <v>439</v>
      </c>
      <c r="B22" s="32" t="s">
        <v>420</v>
      </c>
      <c r="C22" s="33" t="s">
        <v>421</v>
      </c>
      <c r="D22" s="33" t="s">
        <v>422</v>
      </c>
      <c r="E22" s="32" t="s">
        <v>426</v>
      </c>
      <c r="H22" s="34"/>
    </row>
    <row r="23" spans="1:8" ht="16.5" hidden="1" outlineLevel="1" thickBot="1">
      <c r="A23" s="230"/>
      <c r="B23" s="33">
        <v>1.42</v>
      </c>
      <c r="C23" s="33">
        <v>1.32</v>
      </c>
      <c r="D23" s="33">
        <v>1.1499999999999999</v>
      </c>
      <c r="E23" s="33">
        <v>1</v>
      </c>
      <c r="H23" s="34">
        <f>IF(Sheet4!$E$23&lt;=2,'Near Fault'!B23,IF(AND(Sheet4!$E$23&gt;2,Sheet4!$E$23&lt;=5),'Near Fault'!C23,IF(AND(Sheet4!$E$23&gt;5,Sheet4!$E$23&lt;=8),D23,'Near Fault'!E23)))</f>
        <v>1</v>
      </c>
    </row>
    <row r="24" spans="1:8" ht="16.5" hidden="1" outlineLevel="1">
      <c r="A24" s="35"/>
      <c r="H24" s="34"/>
    </row>
    <row r="25" spans="1:8" s="43" customFormat="1" ht="16.5" collapsed="1">
      <c r="A25" s="42" t="s">
        <v>414</v>
      </c>
    </row>
    <row r="26" spans="1:8" ht="17.25" hidden="1" outlineLevel="1" thickBot="1">
      <c r="A26" s="35" t="s">
        <v>411</v>
      </c>
      <c r="H26" s="34"/>
    </row>
    <row r="27" spans="1:8" ht="32.25" hidden="1" outlineLevel="1" thickBot="1">
      <c r="A27" s="227" t="s">
        <v>438</v>
      </c>
      <c r="B27" s="29" t="s">
        <v>420</v>
      </c>
      <c r="C27" s="30" t="s">
        <v>421</v>
      </c>
      <c r="D27" s="30" t="s">
        <v>427</v>
      </c>
      <c r="E27" s="29" t="s">
        <v>428</v>
      </c>
      <c r="H27" s="34"/>
    </row>
    <row r="28" spans="1:8" ht="16.5" hidden="1" outlineLevel="1" thickBot="1">
      <c r="A28" s="228"/>
      <c r="B28" s="31">
        <v>1.28</v>
      </c>
      <c r="C28" s="31">
        <v>1.2</v>
      </c>
      <c r="D28" s="31">
        <v>1.1000000000000001</v>
      </c>
      <c r="E28" s="31">
        <v>1</v>
      </c>
      <c r="H28" s="34">
        <f>IF(Sheet4!$E$23&lt;=2,'Near Fault'!B28,IF(AND(Sheet4!$E$23&gt;2,Sheet4!$E$23&lt;=5),'Near Fault'!C28,IF(AND(Sheet4!$E$23&gt;5,Sheet4!$E$23&lt;=10),D28,'Near Fault'!E28)))</f>
        <v>1</v>
      </c>
    </row>
    <row r="29" spans="1:8" ht="33" hidden="1" outlineLevel="1" thickTop="1" thickBot="1">
      <c r="A29" s="229" t="s">
        <v>439</v>
      </c>
      <c r="B29" s="32" t="s">
        <v>420</v>
      </c>
      <c r="C29" s="33" t="s">
        <v>421</v>
      </c>
      <c r="D29" s="33" t="s">
        <v>427</v>
      </c>
      <c r="E29" s="32" t="s">
        <v>428</v>
      </c>
      <c r="H29" s="34"/>
    </row>
    <row r="30" spans="1:8" ht="16.5" hidden="1" outlineLevel="1" thickBot="1">
      <c r="A30" s="230"/>
      <c r="B30" s="33">
        <v>1.31</v>
      </c>
      <c r="C30" s="33">
        <v>1.25</v>
      </c>
      <c r="D30" s="33">
        <v>1.1499999999999999</v>
      </c>
      <c r="E30" s="33">
        <v>1</v>
      </c>
      <c r="H30" s="34">
        <f>IF(Sheet4!$E$23&lt;=2,'Near Fault'!B30,IF(AND(Sheet4!$E$23&gt;2,Sheet4!$E$23&lt;=5),'Near Fault'!C30,IF(AND(Sheet4!$E$23&gt;5,Sheet4!$E$23&lt;=10),D30,'Near Fault'!E30)))</f>
        <v>1</v>
      </c>
    </row>
    <row r="31" spans="1:8" ht="17.25" hidden="1" outlineLevel="1" thickBot="1">
      <c r="A31" s="35" t="s">
        <v>412</v>
      </c>
      <c r="H31" s="34"/>
    </row>
    <row r="32" spans="1:8" ht="32.25" hidden="1" outlineLevel="1" thickBot="1">
      <c r="A32" s="227" t="s">
        <v>438</v>
      </c>
      <c r="B32" s="29" t="s">
        <v>420</v>
      </c>
      <c r="C32" s="30" t="s">
        <v>421</v>
      </c>
      <c r="D32" s="30" t="s">
        <v>427</v>
      </c>
      <c r="E32" s="29" t="s">
        <v>428</v>
      </c>
      <c r="H32" s="34"/>
    </row>
    <row r="33" spans="1:8" ht="16.5" hidden="1" outlineLevel="1" thickBot="1">
      <c r="A33" s="228"/>
      <c r="B33" s="31">
        <v>1.26</v>
      </c>
      <c r="C33" s="31">
        <v>1.17</v>
      </c>
      <c r="D33" s="31">
        <v>1.05</v>
      </c>
      <c r="E33" s="31">
        <v>1</v>
      </c>
      <c r="H33" s="34">
        <f>IF(Sheet4!$E$23&lt;=2,'Near Fault'!B33,IF(AND(Sheet4!$E$23&gt;2,Sheet4!$E$23&lt;=5),'Near Fault'!C33,IF(AND(Sheet4!$E$23&gt;5,Sheet4!$E$23&lt;=10),D33,'Near Fault'!E33)))</f>
        <v>1</v>
      </c>
    </row>
    <row r="34" spans="1:8" ht="33" hidden="1" outlineLevel="1" thickTop="1" thickBot="1">
      <c r="A34" s="229" t="s">
        <v>439</v>
      </c>
      <c r="B34" s="32" t="s">
        <v>420</v>
      </c>
      <c r="C34" s="33" t="s">
        <v>421</v>
      </c>
      <c r="D34" s="33" t="s">
        <v>427</v>
      </c>
      <c r="E34" s="32" t="s">
        <v>428</v>
      </c>
      <c r="H34" s="34"/>
    </row>
    <row r="35" spans="1:8" ht="16.5" hidden="1" outlineLevel="1" thickBot="1">
      <c r="A35" s="230"/>
      <c r="B35" s="33">
        <v>1.42</v>
      </c>
      <c r="C35" s="33">
        <v>1.32</v>
      </c>
      <c r="D35" s="33">
        <v>1.1499999999999999</v>
      </c>
      <c r="E35" s="33">
        <v>1</v>
      </c>
      <c r="H35" s="34">
        <f>IF(Sheet4!$E$23&lt;=2,'Near Fault'!B35,IF(AND(Sheet4!$E$23&gt;2,Sheet4!$E$23&lt;=5),'Near Fault'!C35,IF(AND(Sheet4!$E$23&gt;5,Sheet4!$E$23&lt;=10),D35,'Near Fault'!E35)))</f>
        <v>1</v>
      </c>
    </row>
    <row r="36" spans="1:8" ht="16.5" hidden="1" outlineLevel="1">
      <c r="A36" s="35"/>
      <c r="H36" s="34"/>
    </row>
    <row r="37" spans="1:8" ht="16.5" hidden="1" outlineLevel="1">
      <c r="A37" s="35"/>
      <c r="H37" s="34"/>
    </row>
    <row r="38" spans="1:8" s="43" customFormat="1" ht="16.5" collapsed="1">
      <c r="A38" s="42" t="s">
        <v>415</v>
      </c>
    </row>
    <row r="39" spans="1:8" ht="17.25" hidden="1" outlineLevel="1" thickBot="1">
      <c r="A39" s="35" t="s">
        <v>411</v>
      </c>
      <c r="H39" s="34"/>
    </row>
    <row r="40" spans="1:8" ht="32.25" hidden="1" outlineLevel="1" thickBot="1">
      <c r="A40" s="227" t="s">
        <v>438</v>
      </c>
      <c r="B40" s="29" t="s">
        <v>420</v>
      </c>
      <c r="C40" s="30" t="s">
        <v>421</v>
      </c>
      <c r="D40" s="30" t="s">
        <v>422</v>
      </c>
      <c r="E40" s="29" t="s">
        <v>426</v>
      </c>
      <c r="H40" s="34"/>
    </row>
    <row r="41" spans="1:8" ht="16.5" hidden="1" outlineLevel="1" thickBot="1">
      <c r="A41" s="228"/>
      <c r="B41" s="31">
        <v>1.37</v>
      </c>
      <c r="C41" s="31">
        <v>1.28</v>
      </c>
      <c r="D41" s="31">
        <v>1.1499999999999999</v>
      </c>
      <c r="E41" s="31">
        <v>1</v>
      </c>
      <c r="H41" s="34">
        <f>IF(Sheet4!$E$23&lt;=2,'Near Fault'!B41,IF(AND(Sheet4!$E$23&gt;2,Sheet4!$E$23&lt;=5),'Near Fault'!C41,IF(AND(Sheet4!$E$23&gt;5,Sheet4!$E$23&lt;=8),D41,'Near Fault'!E41)))</f>
        <v>1</v>
      </c>
    </row>
    <row r="42" spans="1:8" ht="33" hidden="1" outlineLevel="1" thickTop="1" thickBot="1">
      <c r="A42" s="229" t="s">
        <v>439</v>
      </c>
      <c r="B42" s="32" t="s">
        <v>420</v>
      </c>
      <c r="C42" s="33" t="s">
        <v>421</v>
      </c>
      <c r="D42" s="33" t="s">
        <v>422</v>
      </c>
      <c r="E42" s="32" t="s">
        <v>426</v>
      </c>
      <c r="H42" s="34"/>
    </row>
    <row r="43" spans="1:8" ht="16.5" hidden="1" outlineLevel="1" thickBot="1">
      <c r="A43" s="230"/>
      <c r="B43" s="33">
        <v>1.44</v>
      </c>
      <c r="C43" s="33">
        <v>1.36</v>
      </c>
      <c r="D43" s="33">
        <v>1.2</v>
      </c>
      <c r="E43" s="33">
        <v>1</v>
      </c>
      <c r="H43" s="34">
        <f>IF(Sheet4!$E$23&lt;=2,'Near Fault'!B43,IF(AND(Sheet4!$E$23&gt;2,Sheet4!$E$23&lt;=5),'Near Fault'!C43,IF(AND(Sheet4!$E$23&gt;5,Sheet4!$E$23&lt;=8),D43,'Near Fault'!E43)))</f>
        <v>1</v>
      </c>
    </row>
    <row r="44" spans="1:8" ht="17.25" hidden="1" outlineLevel="1" thickBot="1">
      <c r="A44" s="35" t="s">
        <v>412</v>
      </c>
      <c r="H44" s="34"/>
    </row>
    <row r="45" spans="1:8" ht="32.25" hidden="1" outlineLevel="1" thickBot="1">
      <c r="A45" s="227" t="s">
        <v>438</v>
      </c>
      <c r="B45" s="29" t="s">
        <v>420</v>
      </c>
      <c r="C45" s="30" t="s">
        <v>421</v>
      </c>
      <c r="D45" s="30" t="s">
        <v>422</v>
      </c>
      <c r="E45" s="29" t="s">
        <v>426</v>
      </c>
      <c r="H45" s="34"/>
    </row>
    <row r="46" spans="1:8" ht="16.5" hidden="1" outlineLevel="1" thickBot="1">
      <c r="A46" s="228"/>
      <c r="B46" s="31">
        <v>1.3</v>
      </c>
      <c r="C46" s="31">
        <v>1.2</v>
      </c>
      <c r="D46" s="31">
        <v>1.05</v>
      </c>
      <c r="E46" s="31">
        <v>1</v>
      </c>
      <c r="H46" s="34">
        <f>IF(Sheet4!$E$23&lt;=2,'Near Fault'!B46,IF(AND(Sheet4!$E$23&gt;2,Sheet4!$E$23&lt;=5),'Near Fault'!C46,IF(AND(Sheet4!$E$23&gt;5,Sheet4!$E$23&lt;=8),D46,'Near Fault'!E46)))</f>
        <v>1</v>
      </c>
    </row>
    <row r="47" spans="1:8" ht="33" hidden="1" outlineLevel="1" thickTop="1" thickBot="1">
      <c r="A47" s="229" t="s">
        <v>439</v>
      </c>
      <c r="B47" s="32" t="s">
        <v>420</v>
      </c>
      <c r="C47" s="33" t="s">
        <v>421</v>
      </c>
      <c r="D47" s="33" t="s">
        <v>422</v>
      </c>
      <c r="E47" s="32" t="s">
        <v>426</v>
      </c>
      <c r="H47" s="34"/>
    </row>
    <row r="48" spans="1:8" ht="16.5" hidden="1" outlineLevel="1" thickBot="1">
      <c r="A48" s="230"/>
      <c r="B48" s="33">
        <v>1.48</v>
      </c>
      <c r="C48" s="33">
        <v>1.36</v>
      </c>
      <c r="D48" s="33">
        <v>1.1499999999999999</v>
      </c>
      <c r="E48" s="33">
        <v>1</v>
      </c>
      <c r="H48" s="34">
        <f>IF(Sheet4!$E$23&lt;=2,'Near Fault'!B48,IF(AND(Sheet4!$E$23&gt;2,Sheet4!$E$23&lt;=5),'Near Fault'!C48,IF(AND(Sheet4!$E$23&gt;5,Sheet4!$E$23&lt;=8),D48,'Near Fault'!E48)))</f>
        <v>1</v>
      </c>
    </row>
    <row r="49" spans="1:8" ht="16.5" hidden="1" outlineLevel="1">
      <c r="A49" s="35"/>
      <c r="H49" s="34"/>
    </row>
    <row r="50" spans="1:8" s="43" customFormat="1" ht="16.5" collapsed="1">
      <c r="A50" s="42" t="s">
        <v>416</v>
      </c>
    </row>
    <row r="51" spans="1:8" ht="17.25" hidden="1" outlineLevel="1" thickBot="1">
      <c r="A51" s="35" t="s">
        <v>411</v>
      </c>
      <c r="H51" s="34"/>
    </row>
    <row r="52" spans="1:8" ht="32.25" hidden="1" outlineLevel="1" thickBot="1">
      <c r="A52" s="227" t="s">
        <v>438</v>
      </c>
      <c r="B52" s="29" t="s">
        <v>420</v>
      </c>
      <c r="C52" s="30" t="s">
        <v>421</v>
      </c>
      <c r="D52" s="29" t="s">
        <v>429</v>
      </c>
      <c r="H52" s="34"/>
    </row>
    <row r="53" spans="1:8" ht="16.5" hidden="1" outlineLevel="1" thickBot="1">
      <c r="A53" s="228"/>
      <c r="B53" s="31">
        <v>1.23</v>
      </c>
      <c r="C53" s="31">
        <v>1.06</v>
      </c>
      <c r="D53" s="31">
        <v>1</v>
      </c>
      <c r="H53" s="34">
        <f>IF(Sheet4!$E$23&lt;=2,'Near Fault'!B53,IF(AND(Sheet4!$E$23&gt;2,Sheet4!$E$23&lt;=5),'Near Fault'!C53,D53))</f>
        <v>1</v>
      </c>
    </row>
    <row r="54" spans="1:8" ht="33" hidden="1" outlineLevel="1" thickTop="1" thickBot="1">
      <c r="A54" s="229" t="s">
        <v>439</v>
      </c>
      <c r="B54" s="32" t="s">
        <v>420</v>
      </c>
      <c r="C54" s="33" t="s">
        <v>421</v>
      </c>
      <c r="D54" s="32" t="s">
        <v>429</v>
      </c>
      <c r="H54" s="34"/>
    </row>
    <row r="55" spans="1:8" ht="16.5" hidden="1" outlineLevel="1" thickBot="1">
      <c r="A55" s="230"/>
      <c r="B55" s="33">
        <v>1.1499999999999999</v>
      </c>
      <c r="C55" s="33">
        <v>1.05</v>
      </c>
      <c r="D55" s="33">
        <v>1</v>
      </c>
      <c r="H55" s="34">
        <f>IF(Sheet4!$E$23&lt;=2,'Near Fault'!B55,IF(AND(Sheet4!$E$23&gt;2,Sheet4!$E$23&lt;=5),'Near Fault'!C55,D55))</f>
        <v>1</v>
      </c>
    </row>
    <row r="56" spans="1:8" ht="17.25" hidden="1" outlineLevel="1" thickBot="1">
      <c r="A56" s="35" t="s">
        <v>412</v>
      </c>
      <c r="H56" s="34"/>
    </row>
    <row r="57" spans="1:8" ht="32.25" hidden="1" outlineLevel="1" thickBot="1">
      <c r="A57" s="227" t="s">
        <v>438</v>
      </c>
      <c r="B57" s="29" t="s">
        <v>420</v>
      </c>
      <c r="C57" s="30" t="s">
        <v>421</v>
      </c>
      <c r="D57" s="29" t="s">
        <v>429</v>
      </c>
      <c r="H57" s="34"/>
    </row>
    <row r="58" spans="1:8" ht="16.5" hidden="1" outlineLevel="1" thickBot="1">
      <c r="A58" s="228"/>
      <c r="B58" s="31">
        <v>1.29</v>
      </c>
      <c r="C58" s="31">
        <v>1.1000000000000001</v>
      </c>
      <c r="D58" s="31">
        <v>1</v>
      </c>
      <c r="H58" s="34">
        <f>IF(Sheet4!$E$23&lt;=2,'Near Fault'!B58,IF(AND(Sheet4!$E$23&gt;2,Sheet4!$E$23&lt;=5),'Near Fault'!C58,D58))</f>
        <v>1</v>
      </c>
    </row>
    <row r="59" spans="1:8" ht="33" hidden="1" outlineLevel="1" thickTop="1" thickBot="1">
      <c r="A59" s="229" t="s">
        <v>439</v>
      </c>
      <c r="B59" s="32" t="s">
        <v>420</v>
      </c>
      <c r="C59" s="33" t="s">
        <v>421</v>
      </c>
      <c r="D59" s="32" t="s">
        <v>429</v>
      </c>
      <c r="H59" s="34"/>
    </row>
    <row r="60" spans="1:8" ht="16.5" hidden="1" outlineLevel="1" thickBot="1">
      <c r="A60" s="230"/>
      <c r="B60" s="33">
        <v>1.3</v>
      </c>
      <c r="C60" s="33">
        <v>1.1499999999999999</v>
      </c>
      <c r="D60" s="33">
        <v>1</v>
      </c>
      <c r="H60" s="34">
        <f>IF(Sheet4!$E$23&lt;=2,'Near Fault'!B60,IF(AND(Sheet4!$E$23&gt;2,Sheet4!$E$23&lt;=5),'Near Fault'!C60,D60))</f>
        <v>1</v>
      </c>
    </row>
    <row r="61" spans="1:8" ht="16.5" hidden="1" outlineLevel="1">
      <c r="A61" s="35"/>
      <c r="H61" s="34"/>
    </row>
    <row r="62" spans="1:8" s="43" customFormat="1" ht="16.5" collapsed="1">
      <c r="A62" s="42" t="s">
        <v>417</v>
      </c>
    </row>
    <row r="63" spans="1:8" ht="17.25" hidden="1" outlineLevel="1" thickBot="1">
      <c r="A63" s="35" t="s">
        <v>411</v>
      </c>
      <c r="H63" s="34"/>
    </row>
    <row r="64" spans="1:8" ht="32.25" hidden="1" outlineLevel="1" thickBot="1">
      <c r="A64" s="227" t="s">
        <v>438</v>
      </c>
      <c r="B64" s="29" t="s">
        <v>420</v>
      </c>
      <c r="C64" s="30" t="s">
        <v>421</v>
      </c>
      <c r="D64" s="30" t="s">
        <v>422</v>
      </c>
      <c r="E64" s="29" t="s">
        <v>426</v>
      </c>
      <c r="H64" s="34"/>
    </row>
    <row r="65" spans="1:8" ht="16.5" hidden="1" outlineLevel="1" thickBot="1">
      <c r="A65" s="228"/>
      <c r="B65" s="31">
        <v>1.1499999999999999</v>
      </c>
      <c r="C65" s="31">
        <v>1.08</v>
      </c>
      <c r="D65" s="31">
        <v>1</v>
      </c>
      <c r="E65" s="31">
        <v>1</v>
      </c>
      <c r="H65" s="34">
        <f>IF(Sheet4!$E$23&lt;=2,'Near Fault'!B65,IF(AND(Sheet4!$E$23&gt;2,Sheet4!$E$23&lt;=5),'Near Fault'!C65,IF(AND(Sheet4!$E$23&gt;5,Sheet4!$E$23&lt;=8),D65,'Near Fault'!E65)))</f>
        <v>1</v>
      </c>
    </row>
    <row r="66" spans="1:8" ht="33" hidden="1" outlineLevel="1" thickTop="1" thickBot="1">
      <c r="A66" s="229" t="s">
        <v>439</v>
      </c>
      <c r="B66" s="32" t="s">
        <v>420</v>
      </c>
      <c r="C66" s="33" t="s">
        <v>421</v>
      </c>
      <c r="D66" s="33" t="s">
        <v>422</v>
      </c>
      <c r="E66" s="32" t="s">
        <v>426</v>
      </c>
      <c r="H66" s="34"/>
    </row>
    <row r="67" spans="1:8" ht="16.5" hidden="1" outlineLevel="1" thickBot="1">
      <c r="A67" s="230"/>
      <c r="B67" s="33">
        <v>1.1499999999999999</v>
      </c>
      <c r="C67" s="33">
        <v>1.1000000000000001</v>
      </c>
      <c r="D67" s="33">
        <v>1.03</v>
      </c>
      <c r="E67" s="33">
        <v>1</v>
      </c>
      <c r="H67" s="34">
        <f>IF(Sheet4!$E$23&lt;=2,'Near Fault'!B67,IF(AND(Sheet4!$E$23&gt;2,Sheet4!$E$23&lt;=5),'Near Fault'!C67,IF(AND(Sheet4!$E$23&gt;5,Sheet4!$E$23&lt;=8),D67,'Near Fault'!E67)))</f>
        <v>1</v>
      </c>
    </row>
    <row r="68" spans="1:8" ht="17.25" hidden="1" outlineLevel="1" thickBot="1">
      <c r="A68" s="35" t="s">
        <v>412</v>
      </c>
      <c r="H68" s="34"/>
    </row>
    <row r="69" spans="1:8" ht="32.25" hidden="1" outlineLevel="1" thickBot="1">
      <c r="A69" s="227" t="s">
        <v>438</v>
      </c>
      <c r="B69" s="29" t="s">
        <v>420</v>
      </c>
      <c r="C69" s="30" t="s">
        <v>421</v>
      </c>
      <c r="D69" s="30" t="s">
        <v>422</v>
      </c>
      <c r="E69" s="29" t="s">
        <v>426</v>
      </c>
      <c r="H69" s="34"/>
    </row>
    <row r="70" spans="1:8" ht="16.5" hidden="1" outlineLevel="1" thickBot="1">
      <c r="A70" s="228"/>
      <c r="B70" s="31">
        <v>1.21</v>
      </c>
      <c r="C70" s="31">
        <v>1.17</v>
      </c>
      <c r="D70" s="31">
        <v>1.05</v>
      </c>
      <c r="E70" s="31">
        <v>1</v>
      </c>
      <c r="H70" s="34">
        <f>IF(Sheet4!$E$23&lt;=2,'Near Fault'!B70,IF(AND(Sheet4!$E$23&gt;2,Sheet4!$E$23&lt;=5),'Near Fault'!C70,IF(AND(Sheet4!$E$23&gt;5,Sheet4!$E$23&lt;=8),D70,'Near Fault'!E70)))</f>
        <v>1</v>
      </c>
    </row>
    <row r="71" spans="1:8" ht="33" hidden="1" outlineLevel="1" thickTop="1" thickBot="1">
      <c r="A71" s="229" t="s">
        <v>439</v>
      </c>
      <c r="B71" s="32" t="s">
        <v>420</v>
      </c>
      <c r="C71" s="33" t="s">
        <v>421</v>
      </c>
      <c r="D71" s="33" t="s">
        <v>422</v>
      </c>
      <c r="E71" s="32" t="s">
        <v>426</v>
      </c>
      <c r="H71" s="34"/>
    </row>
    <row r="72" spans="1:8" ht="16.5" hidden="1" outlineLevel="1" thickBot="1">
      <c r="A72" s="230"/>
      <c r="B72" s="33">
        <v>1.42</v>
      </c>
      <c r="C72" s="33">
        <v>1.35</v>
      </c>
      <c r="D72" s="33">
        <v>1.1499999999999999</v>
      </c>
      <c r="E72" s="33">
        <v>1</v>
      </c>
      <c r="H72" s="34">
        <f>IF(Sheet4!$E$23&lt;=2,'Near Fault'!B72,IF(AND(Sheet4!$E$23&gt;2,Sheet4!$E$23&lt;=5),'Near Fault'!C72,IF(AND(Sheet4!$E$23&gt;5,Sheet4!$E$23&lt;=8),D72,'Near Fault'!E72)))</f>
        <v>1</v>
      </c>
    </row>
    <row r="73" spans="1:8" ht="16.5" hidden="1" outlineLevel="1">
      <c r="A73" s="35"/>
      <c r="H73" s="34"/>
    </row>
    <row r="74" spans="1:8" ht="16.5" hidden="1" outlineLevel="1">
      <c r="A74" s="35"/>
      <c r="H74" s="34"/>
    </row>
    <row r="75" spans="1:8" s="43" customFormat="1" ht="16.5" collapsed="1">
      <c r="A75" s="42" t="s">
        <v>418</v>
      </c>
    </row>
    <row r="76" spans="1:8" ht="16.5" hidden="1" outlineLevel="1" thickBot="1">
      <c r="A76" s="24" t="s">
        <v>411</v>
      </c>
      <c r="H76" s="34"/>
    </row>
    <row r="77" spans="1:8" ht="32.25" hidden="1" outlineLevel="1" thickBot="1">
      <c r="A77" s="223" t="s">
        <v>419</v>
      </c>
      <c r="B77" s="29" t="s">
        <v>420</v>
      </c>
      <c r="C77" s="30" t="s">
        <v>421</v>
      </c>
      <c r="D77" s="30" t="s">
        <v>422</v>
      </c>
      <c r="E77" s="30" t="s">
        <v>423</v>
      </c>
      <c r="F77" s="29" t="s">
        <v>424</v>
      </c>
      <c r="H77" s="34"/>
    </row>
    <row r="78" spans="1:8" ht="16.5" hidden="1" outlineLevel="1" thickBot="1">
      <c r="A78" s="224"/>
      <c r="B78" s="31">
        <v>1.42</v>
      </c>
      <c r="C78" s="31">
        <v>1.37</v>
      </c>
      <c r="D78" s="31">
        <v>1.28</v>
      </c>
      <c r="E78" s="31">
        <v>1.1399999999999999</v>
      </c>
      <c r="F78" s="31">
        <v>1</v>
      </c>
      <c r="H78" s="34">
        <f>IF(Sheet4!$E$23&lt;=2,'Near Fault'!B78,IF(AND(Sheet4!$E$23&gt;2,Sheet4!$E$23&lt;=5),'Near Fault'!C78,IF(AND(Sheet4!$E$23&gt;5,Sheet4!$E$23&lt;=8),D78,IF(AND(Sheet4!$E$23&gt;8,Sheet4!$E$23&lt;=12),'Near Fault'!E78,'Near Fault'!F78))))</f>
        <v>1</v>
      </c>
    </row>
    <row r="79" spans="1:8" ht="33" hidden="1" outlineLevel="1" thickTop="1" thickBot="1">
      <c r="A79" s="225" t="s">
        <v>425</v>
      </c>
      <c r="B79" s="32" t="s">
        <v>420</v>
      </c>
      <c r="C79" s="33" t="s">
        <v>421</v>
      </c>
      <c r="D79" s="33" t="s">
        <v>422</v>
      </c>
      <c r="E79" s="33" t="s">
        <v>423</v>
      </c>
      <c r="F79" s="32" t="s">
        <v>424</v>
      </c>
      <c r="H79" s="34"/>
    </row>
    <row r="80" spans="1:8" ht="16.5" hidden="1" outlineLevel="1" thickBot="1">
      <c r="A80" s="226"/>
      <c r="B80" s="33">
        <v>1.58</v>
      </c>
      <c r="C80" s="33">
        <v>1.53</v>
      </c>
      <c r="D80" s="33">
        <v>1.38</v>
      </c>
      <c r="E80" s="33">
        <v>1.2</v>
      </c>
      <c r="F80" s="33">
        <v>1</v>
      </c>
      <c r="H80" s="34">
        <f>IF(Sheet4!$E$23&lt;=2,'Near Fault'!B80,IF(AND(Sheet4!$E$23&gt;2,Sheet4!$E$23&lt;=5),'Near Fault'!C80,IF(AND(Sheet4!$E$23&gt;5,Sheet4!$E$23&lt;=8),D80,IF(AND(Sheet4!$E$23&gt;8,Sheet4!$E$23&lt;=12),'Near Fault'!E80,'Near Fault'!F80))))</f>
        <v>1</v>
      </c>
    </row>
    <row r="81" spans="1:8" ht="16.5" hidden="1" outlineLevel="1" thickBot="1">
      <c r="A81" s="24" t="s">
        <v>412</v>
      </c>
      <c r="H81" s="34"/>
    </row>
    <row r="82" spans="1:8" ht="32.25" hidden="1" outlineLevel="1" thickBot="1">
      <c r="A82" s="223" t="s">
        <v>419</v>
      </c>
      <c r="B82" s="29" t="s">
        <v>420</v>
      </c>
      <c r="C82" s="30" t="s">
        <v>421</v>
      </c>
      <c r="D82" s="30" t="s">
        <v>422</v>
      </c>
      <c r="E82" s="30" t="s">
        <v>423</v>
      </c>
      <c r="F82" s="30" t="s">
        <v>430</v>
      </c>
      <c r="G82" s="29" t="s">
        <v>431</v>
      </c>
      <c r="H82" s="34"/>
    </row>
    <row r="83" spans="1:8" ht="16.5" hidden="1" outlineLevel="1" thickBot="1">
      <c r="A83" s="224"/>
      <c r="B83" s="31">
        <v>1.32</v>
      </c>
      <c r="C83" s="31">
        <v>1.26</v>
      </c>
      <c r="D83" s="31">
        <v>1.1000000000000001</v>
      </c>
      <c r="E83" s="31">
        <v>1.02</v>
      </c>
      <c r="F83" s="31">
        <v>1</v>
      </c>
      <c r="G83" s="31">
        <v>1</v>
      </c>
      <c r="H83" s="34">
        <f>IF(Sheet4!$E$23&lt;=2,'Near Fault'!B83,IF(AND(Sheet4!$E$23&gt;2,Sheet4!$E$23&lt;=5),'Near Fault'!C83,IF(AND(Sheet4!$E$23&gt;5,Sheet4!$E$23&lt;=8),D83,IF(AND(Sheet4!$E$23&gt;8,Sheet4!$E$23&lt;=12),'Near Fault'!E83,IF(AND(Sheet4!$E$23&gt;12,Sheet4!$E$23&lt;=15),F83,G83)))))</f>
        <v>1</v>
      </c>
    </row>
    <row r="84" spans="1:8" ht="33" hidden="1" outlineLevel="1" thickTop="1" thickBot="1">
      <c r="A84" s="225" t="s">
        <v>425</v>
      </c>
      <c r="B84" s="32" t="s">
        <v>420</v>
      </c>
      <c r="C84" s="33" t="s">
        <v>421</v>
      </c>
      <c r="D84" s="33" t="s">
        <v>422</v>
      </c>
      <c r="E84" s="33" t="s">
        <v>423</v>
      </c>
      <c r="F84" s="33" t="s">
        <v>430</v>
      </c>
      <c r="G84" s="32" t="s">
        <v>431</v>
      </c>
      <c r="H84" s="34"/>
    </row>
    <row r="85" spans="1:8" ht="16.5" hidden="1" outlineLevel="1" thickBot="1">
      <c r="A85" s="226"/>
      <c r="B85" s="33">
        <v>1.58</v>
      </c>
      <c r="C85" s="33">
        <v>1.48</v>
      </c>
      <c r="D85" s="33">
        <v>1.3</v>
      </c>
      <c r="E85" s="33">
        <v>1.1599999999999999</v>
      </c>
      <c r="F85" s="33">
        <v>1.05</v>
      </c>
      <c r="G85" s="33">
        <v>1</v>
      </c>
      <c r="H85" s="34">
        <f>IF(Sheet4!$E$23&lt;=2,'Near Fault'!B85,IF(AND(Sheet4!$E$23&gt;2,Sheet4!$E$23&lt;=5),'Near Fault'!C85,IF(AND(Sheet4!$E$23&gt;5,Sheet4!$E$23&lt;=8),D85,IF(AND(Sheet4!$E$23&gt;8,Sheet4!$E$23&lt;=12),'Near Fault'!E85,IF(AND(Sheet4!$E$23&gt;12,Sheet4!$E$23&lt;=15),F85,G85)))))</f>
        <v>1</v>
      </c>
    </row>
    <row r="86" spans="1:8" collapsed="1"/>
  </sheetData>
  <mergeCells count="28">
    <mergeCell ref="A17:A18"/>
    <mergeCell ref="A3:A4"/>
    <mergeCell ref="A5:A6"/>
    <mergeCell ref="A8:A9"/>
    <mergeCell ref="A10:A11"/>
    <mergeCell ref="A15:A16"/>
    <mergeCell ref="A54:A55"/>
    <mergeCell ref="A20:A21"/>
    <mergeCell ref="A22:A23"/>
    <mergeCell ref="A27:A28"/>
    <mergeCell ref="A29:A30"/>
    <mergeCell ref="A32:A33"/>
    <mergeCell ref="A34:A35"/>
    <mergeCell ref="A40:A41"/>
    <mergeCell ref="A42:A43"/>
    <mergeCell ref="A45:A46"/>
    <mergeCell ref="A47:A48"/>
    <mergeCell ref="A52:A53"/>
    <mergeCell ref="A77:A78"/>
    <mergeCell ref="A79:A80"/>
    <mergeCell ref="A82:A83"/>
    <mergeCell ref="A84:A85"/>
    <mergeCell ref="A57:A58"/>
    <mergeCell ref="A59:A60"/>
    <mergeCell ref="A64:A65"/>
    <mergeCell ref="A66:A67"/>
    <mergeCell ref="A69:A70"/>
    <mergeCell ref="A71:A72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3"/>
  <sheetViews>
    <sheetView zoomScale="115" zoomScaleNormal="115" workbookViewId="0">
      <selection activeCell="B5" sqref="B5"/>
    </sheetView>
  </sheetViews>
  <sheetFormatPr defaultColWidth="9" defaultRowHeight="15.75"/>
  <cols>
    <col min="1" max="1" width="14.5" style="55" customWidth="1"/>
    <col min="2" max="3" width="20.625" style="6" bestFit="1" customWidth="1"/>
    <col min="4" max="4" width="32.625" style="6" customWidth="1"/>
    <col min="5" max="5" width="21.625" style="6" bestFit="1" customWidth="1"/>
    <col min="6" max="6" width="15.875" style="6" customWidth="1"/>
    <col min="7" max="7" width="10.25" style="6" customWidth="1"/>
    <col min="8" max="8" width="13.5" style="6" customWidth="1"/>
    <col min="9" max="9" width="11" style="6" bestFit="1" customWidth="1"/>
    <col min="10" max="10" width="9" style="6"/>
    <col min="11" max="11" width="19.375" style="6" bestFit="1" customWidth="1"/>
    <col min="12" max="16384" width="9" style="6"/>
  </cols>
  <sheetData>
    <row r="1" spans="1:9" ht="16.5" thickBot="1">
      <c r="A1" s="231" t="s">
        <v>572</v>
      </c>
      <c r="B1" s="232"/>
      <c r="C1" s="232"/>
      <c r="D1" s="233"/>
      <c r="F1" s="231" t="s">
        <v>813</v>
      </c>
      <c r="G1" s="232"/>
      <c r="H1" s="232"/>
      <c r="I1" s="233"/>
    </row>
    <row r="2" spans="1:9" ht="16.5" thickBot="1">
      <c r="A2" s="103" t="s">
        <v>581</v>
      </c>
      <c r="B2" s="97">
        <f>(12+12+10+9+9+10+10)*2</f>
        <v>144</v>
      </c>
      <c r="C2" s="97" t="s">
        <v>497</v>
      </c>
      <c r="D2" s="98"/>
      <c r="F2" s="103" t="s">
        <v>581</v>
      </c>
      <c r="G2" s="97">
        <f>(12+12+10+9+9+10+10)*2</f>
        <v>144</v>
      </c>
      <c r="H2" s="97" t="s">
        <v>497</v>
      </c>
      <c r="I2" s="98"/>
    </row>
    <row r="3" spans="1:9" ht="18">
      <c r="A3" s="104" t="s">
        <v>573</v>
      </c>
      <c r="B3" s="101" t="s">
        <v>584</v>
      </c>
      <c r="C3" s="91" t="s">
        <v>585</v>
      </c>
      <c r="D3" s="92" t="s">
        <v>575</v>
      </c>
      <c r="F3" s="104" t="s">
        <v>573</v>
      </c>
      <c r="G3" s="101" t="s">
        <v>584</v>
      </c>
      <c r="H3" s="91" t="s">
        <v>585</v>
      </c>
      <c r="I3" s="92" t="s">
        <v>575</v>
      </c>
    </row>
    <row r="4" spans="1:9">
      <c r="A4" s="105" t="s">
        <v>574</v>
      </c>
      <c r="B4" s="89">
        <v>280</v>
      </c>
      <c r="C4" s="54">
        <f>34*38</f>
        <v>1292</v>
      </c>
      <c r="D4" s="93">
        <f>C4*B4</f>
        <v>361760</v>
      </c>
      <c r="F4" s="105" t="s">
        <v>574</v>
      </c>
      <c r="G4" s="89">
        <v>280</v>
      </c>
      <c r="H4" s="175">
        <f>34*38</f>
        <v>1292</v>
      </c>
      <c r="I4" s="93">
        <f>H4*G4</f>
        <v>361760</v>
      </c>
    </row>
    <row r="5" spans="1:9" ht="63">
      <c r="A5" s="105" t="s">
        <v>576</v>
      </c>
      <c r="B5" s="89">
        <v>100</v>
      </c>
      <c r="C5" s="175">
        <f>34*38</f>
        <v>1292</v>
      </c>
      <c r="D5" s="93">
        <f>C5*B5</f>
        <v>129200</v>
      </c>
      <c r="F5" s="105" t="s">
        <v>576</v>
      </c>
      <c r="G5" s="89">
        <v>100</v>
      </c>
      <c r="H5" s="175">
        <f>34*38</f>
        <v>1292</v>
      </c>
      <c r="I5" s="93">
        <f>H5*G5</f>
        <v>129200</v>
      </c>
    </row>
    <row r="6" spans="1:9">
      <c r="A6" s="105" t="s">
        <v>578</v>
      </c>
      <c r="B6" s="89"/>
      <c r="C6" s="175">
        <f>34*38</f>
        <v>1292</v>
      </c>
      <c r="D6" s="93">
        <v>45000</v>
      </c>
      <c r="F6" s="105" t="s">
        <v>577</v>
      </c>
      <c r="G6" s="89">
        <v>100</v>
      </c>
      <c r="H6" s="175">
        <f>34*38</f>
        <v>1292</v>
      </c>
      <c r="I6" s="93">
        <f>H6*G6</f>
        <v>129200</v>
      </c>
    </row>
    <row r="7" spans="1:9" ht="32.25" thickBot="1">
      <c r="A7" s="106" t="s">
        <v>579</v>
      </c>
      <c r="B7" s="102">
        <v>80</v>
      </c>
      <c r="C7" s="175">
        <f>34*38</f>
        <v>1292</v>
      </c>
      <c r="D7" s="95">
        <f>C7*B7</f>
        <v>103360</v>
      </c>
      <c r="F7" s="106" t="s">
        <v>579</v>
      </c>
      <c r="G7" s="102">
        <v>80</v>
      </c>
      <c r="H7" s="175">
        <f>34*38</f>
        <v>1292</v>
      </c>
      <c r="I7" s="95">
        <f>H7*G7</f>
        <v>103360</v>
      </c>
    </row>
    <row r="8" spans="1:9" ht="18">
      <c r="A8" s="107"/>
      <c r="B8" s="101" t="s">
        <v>582</v>
      </c>
      <c r="C8" s="91" t="s">
        <v>584</v>
      </c>
      <c r="D8" s="92" t="s">
        <v>575</v>
      </c>
      <c r="F8" s="107"/>
      <c r="G8" s="101" t="s">
        <v>582</v>
      </c>
      <c r="H8" s="91" t="s">
        <v>584</v>
      </c>
      <c r="I8" s="92" t="s">
        <v>575</v>
      </c>
    </row>
    <row r="9" spans="1:9" ht="16.5" thickBot="1">
      <c r="A9" s="105" t="s">
        <v>580</v>
      </c>
      <c r="B9" s="89">
        <f>2</f>
        <v>2</v>
      </c>
      <c r="C9" s="54">
        <v>120</v>
      </c>
      <c r="D9" s="93">
        <f>C9*B9*B2</f>
        <v>34560</v>
      </c>
      <c r="F9" s="106" t="s">
        <v>580</v>
      </c>
      <c r="G9" s="102">
        <v>4</v>
      </c>
      <c r="H9" s="94">
        <v>120</v>
      </c>
      <c r="I9" s="95">
        <f>H9*G9*G2</f>
        <v>69120</v>
      </c>
    </row>
    <row r="10" spans="1:9" ht="16.5" thickBot="1">
      <c r="A10" s="106" t="s">
        <v>583</v>
      </c>
      <c r="B10" s="102">
        <v>1.4</v>
      </c>
      <c r="C10" s="94">
        <v>120</v>
      </c>
      <c r="D10" s="95">
        <f>C10*B10*B2</f>
        <v>24192</v>
      </c>
      <c r="F10" s="234" t="s">
        <v>619</v>
      </c>
      <c r="G10" s="235"/>
      <c r="H10" s="235"/>
      <c r="I10" s="96">
        <f>SUM(I4:I7,I9:I9)/1000</f>
        <v>792.64</v>
      </c>
    </row>
    <row r="11" spans="1:9" ht="16.5" thickBot="1">
      <c r="A11" s="234" t="s">
        <v>618</v>
      </c>
      <c r="B11" s="235"/>
      <c r="C11" s="235"/>
      <c r="D11" s="96">
        <f>SUM(D4:D7,D9:D10)/1000</f>
        <v>698.072</v>
      </c>
    </row>
    <row r="12" spans="1:9" ht="16.5" thickBot="1">
      <c r="F12" s="231" t="s">
        <v>814</v>
      </c>
      <c r="G12" s="232"/>
      <c r="H12" s="232"/>
      <c r="I12" s="233"/>
    </row>
    <row r="13" spans="1:9" ht="16.5" thickBot="1">
      <c r="A13" s="231" t="s">
        <v>815</v>
      </c>
      <c r="B13" s="232"/>
      <c r="C13" s="232"/>
      <c r="D13" s="233"/>
      <c r="F13" s="103" t="s">
        <v>581</v>
      </c>
      <c r="G13" s="97">
        <f>(12+12+10+9+9+10+10)*2</f>
        <v>144</v>
      </c>
      <c r="H13" s="97" t="s">
        <v>497</v>
      </c>
      <c r="I13" s="98"/>
    </row>
    <row r="14" spans="1:9" ht="18.75" thickBot="1">
      <c r="A14" s="103" t="s">
        <v>581</v>
      </c>
      <c r="B14" s="97">
        <f>(12+12+10+9+9+10+10)*2</f>
        <v>144</v>
      </c>
      <c r="C14" s="97" t="s">
        <v>497</v>
      </c>
      <c r="D14" s="98"/>
      <c r="F14" s="104" t="s">
        <v>573</v>
      </c>
      <c r="G14" s="101" t="s">
        <v>584</v>
      </c>
      <c r="H14" s="91" t="s">
        <v>585</v>
      </c>
      <c r="I14" s="92" t="s">
        <v>575</v>
      </c>
    </row>
    <row r="15" spans="1:9" ht="18">
      <c r="A15" s="104" t="s">
        <v>573</v>
      </c>
      <c r="B15" s="101" t="s">
        <v>584</v>
      </c>
      <c r="C15" s="91" t="s">
        <v>585</v>
      </c>
      <c r="D15" s="92" t="s">
        <v>575</v>
      </c>
      <c r="F15" s="105" t="s">
        <v>574</v>
      </c>
      <c r="G15" s="89">
        <v>280</v>
      </c>
      <c r="H15" s="175">
        <f>34*38</f>
        <v>1292</v>
      </c>
      <c r="I15" s="93">
        <f>H15*G15</f>
        <v>361760</v>
      </c>
    </row>
    <row r="16" spans="1:9" ht="47.25">
      <c r="A16" s="105" t="s">
        <v>574</v>
      </c>
      <c r="B16" s="89">
        <v>280</v>
      </c>
      <c r="C16" s="54">
        <f>34*38</f>
        <v>1292</v>
      </c>
      <c r="D16" s="93">
        <f>C16*B16</f>
        <v>361760</v>
      </c>
      <c r="F16" s="105" t="s">
        <v>576</v>
      </c>
      <c r="G16" s="89">
        <v>100</v>
      </c>
      <c r="H16" s="175">
        <f>34*38</f>
        <v>1292</v>
      </c>
      <c r="I16" s="93">
        <f>H16*G16</f>
        <v>129200</v>
      </c>
    </row>
    <row r="17" spans="1:9" ht="63">
      <c r="A17" s="105" t="s">
        <v>576</v>
      </c>
      <c r="B17" s="89">
        <v>100</v>
      </c>
      <c r="C17" s="175">
        <f>34*38</f>
        <v>1292</v>
      </c>
      <c r="D17" s="93">
        <f>C17*B17</f>
        <v>129200</v>
      </c>
      <c r="F17" s="105" t="s">
        <v>577</v>
      </c>
      <c r="G17" s="89">
        <v>100</v>
      </c>
      <c r="H17" s="175">
        <f>34*38</f>
        <v>1292</v>
      </c>
      <c r="I17" s="93">
        <f>H17*G17</f>
        <v>129200</v>
      </c>
    </row>
    <row r="18" spans="1:9" ht="32.25" thickBot="1">
      <c r="A18" s="105" t="s">
        <v>577</v>
      </c>
      <c r="B18" s="89">
        <v>100</v>
      </c>
      <c r="C18" s="175">
        <f>34*38</f>
        <v>1292</v>
      </c>
      <c r="D18" s="93">
        <f>C18*B18</f>
        <v>129200</v>
      </c>
      <c r="F18" s="106" t="s">
        <v>579</v>
      </c>
      <c r="G18" s="102">
        <v>80</v>
      </c>
      <c r="H18" s="175">
        <f>34*38</f>
        <v>1292</v>
      </c>
      <c r="I18" s="95">
        <f>H18*G18</f>
        <v>103360</v>
      </c>
    </row>
    <row r="19" spans="1:9" ht="32.25" thickBot="1">
      <c r="A19" s="106" t="s">
        <v>579</v>
      </c>
      <c r="B19" s="102">
        <v>80</v>
      </c>
      <c r="C19" s="175">
        <f>34*38</f>
        <v>1292</v>
      </c>
      <c r="D19" s="95">
        <f>C19*B19</f>
        <v>103360</v>
      </c>
      <c r="F19" s="107"/>
      <c r="G19" s="101" t="s">
        <v>582</v>
      </c>
      <c r="H19" s="91" t="s">
        <v>584</v>
      </c>
      <c r="I19" s="92" t="s">
        <v>575</v>
      </c>
    </row>
    <row r="20" spans="1:9" ht="18.75" thickBot="1">
      <c r="A20" s="107"/>
      <c r="B20" s="101" t="s">
        <v>582</v>
      </c>
      <c r="C20" s="91" t="s">
        <v>584</v>
      </c>
      <c r="D20" s="92" t="s">
        <v>575</v>
      </c>
      <c r="F20" s="106" t="s">
        <v>580</v>
      </c>
      <c r="G20" s="102">
        <v>4</v>
      </c>
      <c r="H20" s="94">
        <v>120</v>
      </c>
      <c r="I20" s="95">
        <f>H20*G20*G13</f>
        <v>69120</v>
      </c>
    </row>
    <row r="21" spans="1:9" ht="16.5" thickBot="1">
      <c r="A21" s="106" t="s">
        <v>580</v>
      </c>
      <c r="B21" s="102">
        <v>4</v>
      </c>
      <c r="C21" s="94">
        <v>120</v>
      </c>
      <c r="D21" s="95">
        <f>C21*B21*B14</f>
        <v>69120</v>
      </c>
      <c r="F21" s="234" t="s">
        <v>619</v>
      </c>
      <c r="G21" s="235"/>
      <c r="H21" s="235"/>
      <c r="I21" s="96">
        <f>SUM(I15:I18,I20:I20)/1000</f>
        <v>792.64</v>
      </c>
    </row>
    <row r="22" spans="1:9" ht="16.5" thickBot="1">
      <c r="A22" s="234" t="s">
        <v>619</v>
      </c>
      <c r="B22" s="235"/>
      <c r="C22" s="235"/>
      <c r="D22" s="96">
        <f>SUM(D16:D19,D21:D21)/1000</f>
        <v>792.64</v>
      </c>
    </row>
    <row r="23" spans="1:9" ht="16.5" thickBot="1"/>
    <row r="24" spans="1:9" ht="16.5" thickBot="1">
      <c r="A24" s="231" t="s">
        <v>816</v>
      </c>
      <c r="B24" s="232"/>
      <c r="C24" s="232"/>
      <c r="D24" s="233"/>
    </row>
    <row r="25" spans="1:9" ht="16.5" thickBot="1">
      <c r="A25" s="103" t="s">
        <v>593</v>
      </c>
      <c r="B25" s="97">
        <f>(12+12+10+9+9+10+10)*2</f>
        <v>144</v>
      </c>
      <c r="C25" s="97" t="s">
        <v>548</v>
      </c>
      <c r="D25" s="98"/>
    </row>
    <row r="26" spans="1:9" ht="18">
      <c r="A26" s="104" t="s">
        <v>594</v>
      </c>
      <c r="B26" s="101" t="s">
        <v>595</v>
      </c>
      <c r="C26" s="91" t="s">
        <v>596</v>
      </c>
      <c r="D26" s="92" t="s">
        <v>597</v>
      </c>
    </row>
    <row r="27" spans="1:9">
      <c r="A27" s="105" t="s">
        <v>598</v>
      </c>
      <c r="B27" s="89">
        <v>280</v>
      </c>
      <c r="C27" s="175">
        <f>34*38</f>
        <v>1292</v>
      </c>
      <c r="D27" s="93">
        <f>C27*B27</f>
        <v>361760</v>
      </c>
    </row>
    <row r="28" spans="1:9" ht="63">
      <c r="A28" s="105" t="s">
        <v>599</v>
      </c>
      <c r="B28" s="89">
        <v>100</v>
      </c>
      <c r="C28" s="175">
        <f>34*38</f>
        <v>1292</v>
      </c>
      <c r="D28" s="93">
        <f>C28*B28</f>
        <v>129200</v>
      </c>
    </row>
    <row r="29" spans="1:9">
      <c r="A29" s="105" t="s">
        <v>600</v>
      </c>
      <c r="B29" s="89">
        <v>100</v>
      </c>
      <c r="C29" s="175">
        <f>34*38</f>
        <v>1292</v>
      </c>
      <c r="D29" s="93">
        <f>C29*B29</f>
        <v>129200</v>
      </c>
    </row>
    <row r="30" spans="1:9" ht="32.25" thickBot="1">
      <c r="A30" s="106" t="s">
        <v>601</v>
      </c>
      <c r="B30" s="102">
        <v>80</v>
      </c>
      <c r="C30" s="175">
        <f>34*38</f>
        <v>1292</v>
      </c>
      <c r="D30" s="95">
        <f>C30*B30</f>
        <v>103360</v>
      </c>
    </row>
    <row r="31" spans="1:9" ht="18">
      <c r="A31" s="107"/>
      <c r="B31" s="101" t="s">
        <v>602</v>
      </c>
      <c r="C31" s="91" t="s">
        <v>595</v>
      </c>
      <c r="D31" s="92" t="s">
        <v>597</v>
      </c>
    </row>
    <row r="32" spans="1:9" ht="16.5" thickBot="1">
      <c r="A32" s="106" t="s">
        <v>603</v>
      </c>
      <c r="B32" s="102">
        <v>4</v>
      </c>
      <c r="C32" s="94">
        <v>120</v>
      </c>
      <c r="D32" s="95">
        <f>C32*B32*B25</f>
        <v>69120</v>
      </c>
    </row>
    <row r="33" spans="1:5" ht="16.5" thickBot="1">
      <c r="A33" s="234" t="s">
        <v>620</v>
      </c>
      <c r="B33" s="235"/>
      <c r="C33" s="235"/>
      <c r="D33" s="96">
        <f>SUM(D27:D30,D32:D32)/1000</f>
        <v>792.64</v>
      </c>
    </row>
    <row r="34" spans="1:5" ht="16.5" thickBot="1"/>
    <row r="35" spans="1:5" ht="16.5" thickBot="1">
      <c r="A35" s="231" t="s">
        <v>817</v>
      </c>
      <c r="B35" s="232"/>
      <c r="C35" s="232"/>
      <c r="D35" s="233"/>
    </row>
    <row r="36" spans="1:5" ht="16.5" thickBot="1">
      <c r="A36" s="103" t="s">
        <v>593</v>
      </c>
      <c r="B36" s="97">
        <f>(12+12+10+9+9+10+10)*2</f>
        <v>144</v>
      </c>
      <c r="C36" s="97" t="s">
        <v>548</v>
      </c>
      <c r="D36" s="98"/>
    </row>
    <row r="37" spans="1:5" ht="18">
      <c r="A37" s="104" t="s">
        <v>594</v>
      </c>
      <c r="B37" s="101" t="s">
        <v>595</v>
      </c>
      <c r="C37" s="91" t="s">
        <v>596</v>
      </c>
      <c r="D37" s="92" t="s">
        <v>597</v>
      </c>
    </row>
    <row r="38" spans="1:5">
      <c r="A38" s="105" t="s">
        <v>598</v>
      </c>
      <c r="B38" s="89">
        <v>280</v>
      </c>
      <c r="C38" s="175">
        <f>34*38</f>
        <v>1292</v>
      </c>
      <c r="D38" s="93">
        <f>C38*B38</f>
        <v>361760</v>
      </c>
    </row>
    <row r="39" spans="1:5" ht="63">
      <c r="A39" s="105" t="s">
        <v>599</v>
      </c>
      <c r="B39" s="89">
        <v>100</v>
      </c>
      <c r="C39" s="175">
        <f>34*38</f>
        <v>1292</v>
      </c>
      <c r="D39" s="93">
        <f>C39*B39</f>
        <v>129200</v>
      </c>
    </row>
    <row r="40" spans="1:5">
      <c r="A40" s="105" t="s">
        <v>600</v>
      </c>
      <c r="B40" s="89">
        <v>100</v>
      </c>
      <c r="C40" s="175">
        <f>34*38</f>
        <v>1292</v>
      </c>
      <c r="D40" s="93">
        <f>C40*B40</f>
        <v>129200</v>
      </c>
    </row>
    <row r="41" spans="1:5" ht="32.25" thickBot="1">
      <c r="A41" s="106" t="s">
        <v>601</v>
      </c>
      <c r="B41" s="102">
        <v>80</v>
      </c>
      <c r="C41" s="175">
        <f>34*38</f>
        <v>1292</v>
      </c>
      <c r="D41" s="95">
        <f>C41*B41</f>
        <v>103360</v>
      </c>
    </row>
    <row r="42" spans="1:5" ht="18">
      <c r="A42" s="107"/>
      <c r="B42" s="101" t="s">
        <v>602</v>
      </c>
      <c r="C42" s="91" t="s">
        <v>595</v>
      </c>
      <c r="D42" s="92" t="s">
        <v>597</v>
      </c>
    </row>
    <row r="43" spans="1:5" ht="16.5" thickBot="1">
      <c r="A43" s="106" t="s">
        <v>603</v>
      </c>
      <c r="B43" s="102">
        <v>4</v>
      </c>
      <c r="C43" s="94">
        <v>120</v>
      </c>
      <c r="D43" s="95">
        <f>C43*B43*B36</f>
        <v>69120</v>
      </c>
    </row>
    <row r="44" spans="1:5" ht="16.5" thickBot="1">
      <c r="A44" s="234" t="s">
        <v>621</v>
      </c>
      <c r="B44" s="235"/>
      <c r="C44" s="235"/>
      <c r="D44" s="96">
        <f>SUM(D38:D41,D43:D43)/1000</f>
        <v>792.64</v>
      </c>
    </row>
    <row r="45" spans="1:5" ht="16.5" thickBot="1"/>
    <row r="46" spans="1:5" ht="16.5" thickBot="1">
      <c r="A46" s="237" t="s">
        <v>622</v>
      </c>
      <c r="B46" s="238"/>
      <c r="C46" s="238"/>
      <c r="D46" s="96">
        <f>D44+D33+D22+D11+I10+I21</f>
        <v>4661.2719999999999</v>
      </c>
    </row>
    <row r="47" spans="1:5" ht="16.5" thickBot="1">
      <c r="A47" s="239" t="s">
        <v>624</v>
      </c>
      <c r="B47" s="240"/>
      <c r="C47" s="241"/>
      <c r="D47" s="192">
        <f>D46*E47</f>
        <v>677.28282160000003</v>
      </c>
      <c r="E47" s="6">
        <v>0.14530000000000001</v>
      </c>
    </row>
    <row r="48" spans="1:5" ht="16.5" thickBot="1">
      <c r="A48" s="242" t="s">
        <v>623</v>
      </c>
      <c r="B48" s="243"/>
      <c r="C48" s="244"/>
      <c r="D48" s="100">
        <f>D46*E48</f>
        <v>822.24838079999995</v>
      </c>
      <c r="E48" s="6">
        <v>0.1764</v>
      </c>
    </row>
    <row r="49" spans="1:7" ht="16.5" thickBot="1"/>
    <row r="50" spans="1:7">
      <c r="A50" s="109" t="s">
        <v>609</v>
      </c>
      <c r="B50" s="91" t="s">
        <v>625</v>
      </c>
      <c r="C50" s="91" t="s">
        <v>607</v>
      </c>
      <c r="D50" s="92" t="s">
        <v>608</v>
      </c>
    </row>
    <row r="51" spans="1:7" ht="16.5">
      <c r="A51" s="110" t="s">
        <v>610</v>
      </c>
      <c r="B51" s="54">
        <f>D11</f>
        <v>698.072</v>
      </c>
      <c r="C51" s="54">
        <v>4</v>
      </c>
      <c r="D51" s="111">
        <f>D47-D56-D54-D53-D52-D55</f>
        <v>208.75068237561402</v>
      </c>
      <c r="G51"/>
    </row>
    <row r="52" spans="1:7" s="174" customFormat="1" ht="16.5">
      <c r="A52" s="110" t="s">
        <v>820</v>
      </c>
      <c r="B52" s="175">
        <f>I10</f>
        <v>792.64</v>
      </c>
      <c r="C52" s="175">
        <v>4</v>
      </c>
      <c r="D52" s="111">
        <f>B52*(C53+C52+C54+C55+C56)/F53*(D47-F67)</f>
        <v>156.17737974146198</v>
      </c>
      <c r="G52" s="172"/>
    </row>
    <row r="53" spans="1:7" ht="17.100000000000001" customHeight="1">
      <c r="A53" s="110" t="s">
        <v>611</v>
      </c>
      <c r="B53" s="54">
        <f>I21</f>
        <v>792.64</v>
      </c>
      <c r="C53" s="175">
        <v>4</v>
      </c>
      <c r="D53" s="111">
        <f>B53*(C53+C54+C55+C56)/F53*(D47-F67)</f>
        <v>124.94190379316957</v>
      </c>
      <c r="F53" s="6">
        <f>B51*(C51+C53+C52+C54+C55+C56)+B52*(C53+C52+C54+C55+C56)+B53*(C53+C54+C55+C56)+B54*(C54+C55+C56)+B55*(C55+C56)+B56*(C56)</f>
        <v>64312.127999999997</v>
      </c>
    </row>
    <row r="54" spans="1:7">
      <c r="A54" s="110" t="s">
        <v>612</v>
      </c>
      <c r="B54" s="54">
        <f>D22</f>
        <v>792.64</v>
      </c>
      <c r="C54" s="175">
        <v>4</v>
      </c>
      <c r="D54" s="111">
        <f>B54*(C54+C55+C56)/F53*(D47-F67)</f>
        <v>93.706427844877183</v>
      </c>
      <c r="F54" s="90">
        <f>SUM(D51:D56)</f>
        <v>677.28282160000003</v>
      </c>
    </row>
    <row r="55" spans="1:7" s="174" customFormat="1">
      <c r="A55" s="195" t="s">
        <v>819</v>
      </c>
      <c r="B55" s="146">
        <f>D33</f>
        <v>792.64</v>
      </c>
      <c r="C55" s="175">
        <v>4</v>
      </c>
      <c r="D55" s="196">
        <f>B55*(C55+C56)/F53*(D47-F67)</f>
        <v>62.470951896584786</v>
      </c>
      <c r="F55" s="90"/>
    </row>
    <row r="56" spans="1:7" s="174" customFormat="1" ht="16.5" thickBot="1">
      <c r="A56" s="112" t="s">
        <v>818</v>
      </c>
      <c r="B56" s="94">
        <f>D44</f>
        <v>792.64</v>
      </c>
      <c r="C56" s="94">
        <v>4</v>
      </c>
      <c r="D56" s="100">
        <f>B56*C56/F53*(D47-F67)</f>
        <v>31.235475948292393</v>
      </c>
      <c r="F56" s="90"/>
    </row>
    <row r="57" spans="1:7" s="174" customFormat="1">
      <c r="F57" s="90"/>
    </row>
    <row r="58" spans="1:7">
      <c r="A58" s="6"/>
    </row>
    <row r="59" spans="1:7" ht="16.5" thickBot="1">
      <c r="A59" s="108"/>
    </row>
    <row r="60" spans="1:7">
      <c r="A60" s="109" t="s">
        <v>606</v>
      </c>
      <c r="B60" s="91" t="s">
        <v>625</v>
      </c>
      <c r="C60" s="91" t="s">
        <v>607</v>
      </c>
      <c r="D60" s="92" t="s">
        <v>681</v>
      </c>
    </row>
    <row r="61" spans="1:7">
      <c r="A61" s="110" t="s">
        <v>613</v>
      </c>
      <c r="B61" s="54">
        <f t="shared" ref="B61:C66" si="0">B51</f>
        <v>698.072</v>
      </c>
      <c r="C61" s="54">
        <f t="shared" si="0"/>
        <v>4</v>
      </c>
      <c r="D61" s="111">
        <f>D48-F64</f>
        <v>246.50661020697396</v>
      </c>
    </row>
    <row r="62" spans="1:7" s="174" customFormat="1">
      <c r="A62" s="110" t="s">
        <v>822</v>
      </c>
      <c r="B62" s="175">
        <f t="shared" si="0"/>
        <v>792.64</v>
      </c>
      <c r="C62" s="175">
        <f t="shared" si="0"/>
        <v>4</v>
      </c>
      <c r="D62" s="111">
        <f>B62*(C62+C63+C64+C65+C66)/F63*(D48-H67)</f>
        <v>191.91392353100866</v>
      </c>
    </row>
    <row r="63" spans="1:7">
      <c r="A63" s="110" t="s">
        <v>614</v>
      </c>
      <c r="B63" s="54">
        <f t="shared" si="0"/>
        <v>792.64</v>
      </c>
      <c r="C63" s="54">
        <f t="shared" si="0"/>
        <v>4</v>
      </c>
      <c r="D63" s="111">
        <f>B63*(C63+C64+C65+C66)/F63*(D48-H67)</f>
        <v>153.53113882480693</v>
      </c>
      <c r="F63" s="6">
        <f>B61*(C61+C62+C63+C64+C65+C66)+B62*(C62+C63+C64+C65+C66)+B63*(C63+C64+C65+C66)+B64*(C64+C65+C66)+B65*(C65+C66)+B66*C66</f>
        <v>64312.127999999997</v>
      </c>
    </row>
    <row r="64" spans="1:7">
      <c r="A64" s="110" t="s">
        <v>615</v>
      </c>
      <c r="B64" s="54">
        <f t="shared" si="0"/>
        <v>792.64</v>
      </c>
      <c r="C64" s="54">
        <f t="shared" si="0"/>
        <v>4</v>
      </c>
      <c r="D64" s="111">
        <f>B64*(C64+C65+C66)/F63*(D48-H67)</f>
        <v>115.1483541186052</v>
      </c>
      <c r="F64" s="90">
        <f>SUM(D62:D66)</f>
        <v>575.74177059302599</v>
      </c>
    </row>
    <row r="65" spans="1:11" s="174" customFormat="1">
      <c r="A65" s="195" t="s">
        <v>821</v>
      </c>
      <c r="B65" s="146">
        <f t="shared" si="0"/>
        <v>792.64</v>
      </c>
      <c r="C65" s="146">
        <f t="shared" si="0"/>
        <v>4</v>
      </c>
      <c r="D65" s="196">
        <f>B65*(C65+C66)/F63*(D48-H67)</f>
        <v>76.765569412403465</v>
      </c>
      <c r="F65" s="90"/>
      <c r="G65" s="174" t="s">
        <v>826</v>
      </c>
      <c r="H65" s="174" t="s">
        <v>827</v>
      </c>
    </row>
    <row r="66" spans="1:11" ht="16.5" thickBot="1">
      <c r="A66" s="112" t="s">
        <v>817</v>
      </c>
      <c r="B66" s="94">
        <f t="shared" si="0"/>
        <v>792.64</v>
      </c>
      <c r="C66" s="94">
        <f t="shared" si="0"/>
        <v>4</v>
      </c>
      <c r="D66" s="100">
        <f>B66*C66/F63*(D48-H67)</f>
        <v>38.382784706201733</v>
      </c>
      <c r="F66" s="6" t="s">
        <v>616</v>
      </c>
      <c r="G66" s="6">
        <v>0.92169999999999996</v>
      </c>
      <c r="H66" s="6">
        <v>0.75900000000000001</v>
      </c>
    </row>
    <row r="67" spans="1:11">
      <c r="F67" s="6">
        <f>0.07*G66*D47</f>
        <v>43.697610366810409</v>
      </c>
      <c r="H67" s="6">
        <f>0.07*D48*H66</f>
        <v>43.686056471904003</v>
      </c>
    </row>
    <row r="68" spans="1:11">
      <c r="F68" s="6">
        <f>0.25*D47</f>
        <v>169.32070540000001</v>
      </c>
      <c r="H68" s="6">
        <f>0.25*D48</f>
        <v>205.56209519999999</v>
      </c>
    </row>
    <row r="69" spans="1:11">
      <c r="A69" s="236" t="s">
        <v>633</v>
      </c>
      <c r="B69" s="236"/>
      <c r="C69" s="236"/>
    </row>
    <row r="70" spans="1:11">
      <c r="A70" s="114" t="s">
        <v>635</v>
      </c>
      <c r="B70" s="52">
        <f>38000</f>
        <v>38000</v>
      </c>
      <c r="C70" s="117" t="s">
        <v>638</v>
      </c>
    </row>
    <row r="71" spans="1:11">
      <c r="A71" s="114" t="s">
        <v>636</v>
      </c>
      <c r="B71" s="116">
        <v>34000</v>
      </c>
      <c r="C71" s="89" t="s">
        <v>638</v>
      </c>
    </row>
    <row r="72" spans="1:11">
      <c r="A72" s="54" t="s">
        <v>637</v>
      </c>
      <c r="B72" s="116">
        <v>150</v>
      </c>
      <c r="C72" s="89" t="s">
        <v>638</v>
      </c>
    </row>
    <row r="73" spans="1:11" ht="18.75">
      <c r="A73" s="118" t="s">
        <v>606</v>
      </c>
      <c r="B73" s="115" t="s">
        <v>626</v>
      </c>
      <c r="C73" s="115" t="s">
        <v>634</v>
      </c>
      <c r="D73" s="54" t="s">
        <v>627</v>
      </c>
      <c r="E73" s="54" t="s">
        <v>628</v>
      </c>
      <c r="F73" s="54" t="s">
        <v>629</v>
      </c>
      <c r="G73" s="54" t="s">
        <v>630</v>
      </c>
      <c r="H73" s="54" t="s">
        <v>631</v>
      </c>
      <c r="I73" s="54" t="s">
        <v>632</v>
      </c>
      <c r="K73" s="6" t="s">
        <v>639</v>
      </c>
    </row>
    <row r="74" spans="1:11">
      <c r="A74" s="113" t="s">
        <v>572</v>
      </c>
      <c r="B74" s="54">
        <f>B61</f>
        <v>698.072</v>
      </c>
      <c r="C74" s="54">
        <f>B74*9.81</f>
        <v>6848.0863200000003</v>
      </c>
      <c r="D74" s="54">
        <f>C74/9810</f>
        <v>0.69807200000000003</v>
      </c>
      <c r="E74" s="54">
        <f t="shared" ref="E74:F77" si="1">D74</f>
        <v>0.69807200000000003</v>
      </c>
      <c r="F74" s="54">
        <f t="shared" si="1"/>
        <v>0.69807200000000003</v>
      </c>
      <c r="G74" s="54">
        <f>D74*($B$71*$B$71+$B$72*$B$72)/12</f>
        <v>67248911.551666662</v>
      </c>
      <c r="H74" s="54">
        <f>E74*($B$70*$B$70+$B$72*$B$72)/12</f>
        <v>84002639.551666662</v>
      </c>
      <c r="I74" s="54">
        <f>F74*($B$70*$B$70+$B$71*$B$71)/12</f>
        <v>151248933.33333334</v>
      </c>
      <c r="K74" s="6">
        <f>B74/(48*34)</f>
        <v>0.42774019607843139</v>
      </c>
    </row>
    <row r="75" spans="1:11">
      <c r="A75" s="113" t="s">
        <v>586</v>
      </c>
      <c r="B75" s="54">
        <f>B63</f>
        <v>792.64</v>
      </c>
      <c r="C75" s="54">
        <f>B75*9.81</f>
        <v>7775.7984000000006</v>
      </c>
      <c r="D75" s="54">
        <f>C75/9810</f>
        <v>0.79264000000000001</v>
      </c>
      <c r="E75" s="54">
        <f t="shared" si="1"/>
        <v>0.79264000000000001</v>
      </c>
      <c r="F75" s="54">
        <f t="shared" si="1"/>
        <v>0.79264000000000001</v>
      </c>
      <c r="G75" s="54">
        <f>D75*($B$71*$B$71+$B$72*$B$72)/12</f>
        <v>76359139.533333331</v>
      </c>
      <c r="H75" s="54">
        <f>E75*($B$70*$B$70+$B$72*$B$72)/12</f>
        <v>95382499.533333346</v>
      </c>
      <c r="I75" s="54">
        <f>F75*($B$70*$B$70+$B$71*$B$71)/12</f>
        <v>171738666.66666666</v>
      </c>
      <c r="K75" s="6">
        <f>B75/(48*34)</f>
        <v>0.48568627450980389</v>
      </c>
    </row>
    <row r="76" spans="1:11">
      <c r="A76" s="113" t="s">
        <v>592</v>
      </c>
      <c r="B76" s="54">
        <f>B64</f>
        <v>792.64</v>
      </c>
      <c r="C76" s="54">
        <f>B76*9.81</f>
        <v>7775.7984000000006</v>
      </c>
      <c r="D76" s="54">
        <f>C76/9810</f>
        <v>0.79264000000000001</v>
      </c>
      <c r="E76" s="54">
        <f t="shared" si="1"/>
        <v>0.79264000000000001</v>
      </c>
      <c r="F76" s="54">
        <f t="shared" si="1"/>
        <v>0.79264000000000001</v>
      </c>
      <c r="G76" s="54">
        <f>D76*($B$71*$B$71+$B$72*$B$72)/12</f>
        <v>76359139.533333331</v>
      </c>
      <c r="H76" s="54">
        <f>E76*($B$70*$B$70+$B$72*$B$72)/12</f>
        <v>95382499.533333346</v>
      </c>
      <c r="I76" s="54">
        <f>F76*($B$70*$B$70+$B$71*$B$71)/12</f>
        <v>171738666.66666666</v>
      </c>
      <c r="K76" s="6">
        <f>B76/(48*34)</f>
        <v>0.48568627450980389</v>
      </c>
    </row>
    <row r="77" spans="1:11">
      <c r="A77" s="113" t="s">
        <v>604</v>
      </c>
      <c r="B77" s="54">
        <f>B66</f>
        <v>792.64</v>
      </c>
      <c r="C77" s="54">
        <f>B77*9.81</f>
        <v>7775.7984000000006</v>
      </c>
      <c r="D77" s="54">
        <f>C77/9810</f>
        <v>0.79264000000000001</v>
      </c>
      <c r="E77" s="54">
        <f t="shared" si="1"/>
        <v>0.79264000000000001</v>
      </c>
      <c r="F77" s="54">
        <f t="shared" si="1"/>
        <v>0.79264000000000001</v>
      </c>
      <c r="G77" s="54">
        <f>D77*($B$71*$B$71+$B$72*$B$72)/12</f>
        <v>76359139.533333331</v>
      </c>
      <c r="H77" s="54">
        <f>E77*($B$70*$B$70+$B$72*$B$72)/12</f>
        <v>95382499.533333346</v>
      </c>
      <c r="I77" s="54">
        <f>F77*($B$70*$B$70+$B$71*$B$71)/12</f>
        <v>171738666.66666666</v>
      </c>
      <c r="K77" s="6">
        <f>B77/(48*34)</f>
        <v>0.48568627450980389</v>
      </c>
    </row>
    <row r="79" spans="1:11">
      <c r="A79" s="113" t="s">
        <v>606</v>
      </c>
      <c r="B79" s="54" t="s">
        <v>674</v>
      </c>
      <c r="C79" s="54" t="s">
        <v>675</v>
      </c>
      <c r="D79" s="54" t="s">
        <v>676</v>
      </c>
    </row>
    <row r="80" spans="1:11">
      <c r="A80" s="113" t="s">
        <v>572</v>
      </c>
      <c r="B80" s="54">
        <v>4000</v>
      </c>
      <c r="C80" s="54">
        <v>5.0000000000000001E-3</v>
      </c>
      <c r="D80" s="6">
        <f>(B80+B81+B82+B83+B84+B85)*C80</f>
        <v>120</v>
      </c>
    </row>
    <row r="81" spans="1:4" s="174" customFormat="1">
      <c r="A81" s="113" t="s">
        <v>825</v>
      </c>
      <c r="B81" s="175">
        <v>4000</v>
      </c>
      <c r="C81" s="175">
        <v>5.0000000000000001E-3</v>
      </c>
      <c r="D81" s="175">
        <f>(B81+B82+B83+B84+B85)*C81</f>
        <v>100</v>
      </c>
    </row>
    <row r="82" spans="1:4">
      <c r="A82" s="113" t="s">
        <v>586</v>
      </c>
      <c r="B82" s="175">
        <v>4000</v>
      </c>
      <c r="C82" s="175">
        <v>5.0000000000000001E-3</v>
      </c>
      <c r="D82" s="54">
        <f>(B80+B82+B83+B85)*C80</f>
        <v>80</v>
      </c>
    </row>
    <row r="83" spans="1:4">
      <c r="A83" s="113" t="s">
        <v>592</v>
      </c>
      <c r="B83" s="175">
        <v>4000</v>
      </c>
      <c r="C83" s="175">
        <v>5.0000000000000001E-3</v>
      </c>
      <c r="D83" s="54">
        <f>(B82+B83+B85)*C82</f>
        <v>60</v>
      </c>
    </row>
    <row r="84" spans="1:4" s="174" customFormat="1">
      <c r="A84" s="113" t="s">
        <v>823</v>
      </c>
      <c r="B84" s="175">
        <v>4000</v>
      </c>
      <c r="C84" s="175">
        <v>5.0000000000000001E-3</v>
      </c>
      <c r="D84" s="54">
        <f>(B83+B85)*C83</f>
        <v>40</v>
      </c>
    </row>
    <row r="85" spans="1:4">
      <c r="A85" s="113" t="s">
        <v>824</v>
      </c>
      <c r="B85" s="54">
        <v>4000</v>
      </c>
      <c r="C85" s="54">
        <v>5.0000000000000001E-3</v>
      </c>
      <c r="D85" s="54">
        <f>B85*C85</f>
        <v>20</v>
      </c>
    </row>
    <row r="88" spans="1:4">
      <c r="A88" s="55" t="s">
        <v>677</v>
      </c>
    </row>
    <row r="89" spans="1:4" ht="18.75">
      <c r="A89" s="114" t="s">
        <v>678</v>
      </c>
      <c r="B89" s="54" t="s">
        <v>679</v>
      </c>
      <c r="C89" s="54" t="s">
        <v>680</v>
      </c>
    </row>
    <row r="90" spans="1:4">
      <c r="A90" s="114">
        <v>20</v>
      </c>
      <c r="B90" s="54">
        <v>50</v>
      </c>
      <c r="C90" s="54">
        <f t="shared" ref="C90:C107" si="2">B90*A90</f>
        <v>1000</v>
      </c>
    </row>
    <row r="91" spans="1:4">
      <c r="A91" s="114">
        <v>20</v>
      </c>
      <c r="B91" s="54">
        <v>80</v>
      </c>
      <c r="C91" s="54">
        <f t="shared" si="2"/>
        <v>1600</v>
      </c>
    </row>
    <row r="92" spans="1:4">
      <c r="A92" s="114">
        <v>20</v>
      </c>
      <c r="B92" s="54">
        <v>100</v>
      </c>
      <c r="C92" s="54">
        <f t="shared" si="2"/>
        <v>2000</v>
      </c>
      <c r="D92" s="153"/>
    </row>
    <row r="93" spans="1:4">
      <c r="A93" s="114">
        <v>30</v>
      </c>
      <c r="B93" s="54">
        <v>80</v>
      </c>
      <c r="C93" s="54">
        <f t="shared" si="2"/>
        <v>2400</v>
      </c>
      <c r="D93" s="153"/>
    </row>
    <row r="94" spans="1:4">
      <c r="A94" s="114">
        <v>30</v>
      </c>
      <c r="B94" s="54">
        <v>100</v>
      </c>
      <c r="C94" s="54">
        <f t="shared" si="2"/>
        <v>3000</v>
      </c>
      <c r="D94" s="153"/>
    </row>
    <row r="95" spans="1:4">
      <c r="A95" s="114">
        <v>30</v>
      </c>
      <c r="B95" s="54">
        <v>120</v>
      </c>
      <c r="C95" s="54">
        <f t="shared" si="2"/>
        <v>3600</v>
      </c>
      <c r="D95" s="153"/>
    </row>
    <row r="96" spans="1:4">
      <c r="A96" s="151">
        <v>40</v>
      </c>
      <c r="B96" s="152">
        <v>100</v>
      </c>
      <c r="C96" s="152">
        <f t="shared" si="2"/>
        <v>4000</v>
      </c>
      <c r="D96" s="153"/>
    </row>
    <row r="97" spans="1:4">
      <c r="A97" s="114">
        <v>40</v>
      </c>
      <c r="B97" s="54">
        <v>120</v>
      </c>
      <c r="C97" s="54">
        <f t="shared" si="2"/>
        <v>4800</v>
      </c>
      <c r="D97" s="153"/>
    </row>
    <row r="98" spans="1:4">
      <c r="A98" s="151">
        <v>40</v>
      </c>
      <c r="B98" s="152">
        <v>150</v>
      </c>
      <c r="C98" s="152">
        <f t="shared" si="2"/>
        <v>6000</v>
      </c>
      <c r="D98" s="153"/>
    </row>
    <row r="99" spans="1:4">
      <c r="A99" s="114">
        <v>50</v>
      </c>
      <c r="B99" s="54">
        <v>130</v>
      </c>
      <c r="C99" s="54">
        <f t="shared" si="2"/>
        <v>6500</v>
      </c>
      <c r="D99" s="153"/>
    </row>
    <row r="100" spans="1:4">
      <c r="A100" s="114">
        <v>50</v>
      </c>
      <c r="B100" s="54">
        <v>140</v>
      </c>
      <c r="C100" s="54">
        <f t="shared" si="2"/>
        <v>7000</v>
      </c>
      <c r="D100" s="153"/>
    </row>
    <row r="101" spans="1:4">
      <c r="A101" s="114">
        <v>50</v>
      </c>
      <c r="B101" s="54">
        <v>150</v>
      </c>
      <c r="C101" s="54">
        <f t="shared" si="2"/>
        <v>7500</v>
      </c>
      <c r="D101" s="153"/>
    </row>
    <row r="102" spans="1:4">
      <c r="A102" s="114">
        <v>60</v>
      </c>
      <c r="B102" s="54">
        <v>140</v>
      </c>
      <c r="C102" s="54">
        <f t="shared" si="2"/>
        <v>8400</v>
      </c>
      <c r="D102" s="153"/>
    </row>
    <row r="103" spans="1:4">
      <c r="A103" s="114">
        <v>60</v>
      </c>
      <c r="B103" s="54">
        <v>150</v>
      </c>
      <c r="C103" s="54">
        <f t="shared" si="2"/>
        <v>9000</v>
      </c>
      <c r="D103" s="153"/>
    </row>
    <row r="104" spans="1:4">
      <c r="A104" s="114">
        <v>60</v>
      </c>
      <c r="B104" s="54">
        <v>160</v>
      </c>
      <c r="C104" s="54">
        <f t="shared" si="2"/>
        <v>9600</v>
      </c>
    </row>
    <row r="105" spans="1:4">
      <c r="A105" s="114">
        <v>70</v>
      </c>
      <c r="B105" s="54">
        <v>140</v>
      </c>
      <c r="C105" s="54">
        <f t="shared" si="2"/>
        <v>9800</v>
      </c>
    </row>
    <row r="106" spans="1:4">
      <c r="A106" s="114">
        <v>70</v>
      </c>
      <c r="B106" s="54">
        <v>150</v>
      </c>
      <c r="C106" s="54">
        <f t="shared" si="2"/>
        <v>10500</v>
      </c>
    </row>
    <row r="107" spans="1:4">
      <c r="A107" s="114">
        <v>70</v>
      </c>
      <c r="B107" s="54">
        <v>160</v>
      </c>
      <c r="C107" s="54">
        <f t="shared" si="2"/>
        <v>11200</v>
      </c>
    </row>
    <row r="108" spans="1:4">
      <c r="A108" s="114">
        <v>80</v>
      </c>
      <c r="B108" s="54">
        <v>160</v>
      </c>
      <c r="C108" s="54">
        <f t="shared" ref="C108:C113" si="3">B108*A108</f>
        <v>12800</v>
      </c>
    </row>
    <row r="109" spans="1:4">
      <c r="A109" s="114">
        <v>80</v>
      </c>
      <c r="B109" s="54">
        <v>180</v>
      </c>
      <c r="C109" s="54">
        <f t="shared" si="3"/>
        <v>14400</v>
      </c>
    </row>
    <row r="110" spans="1:4">
      <c r="A110" s="114">
        <v>80</v>
      </c>
      <c r="B110" s="54">
        <v>200</v>
      </c>
      <c r="C110" s="54">
        <f t="shared" si="3"/>
        <v>16000</v>
      </c>
    </row>
    <row r="111" spans="1:4">
      <c r="A111" s="114">
        <v>90</v>
      </c>
      <c r="B111" s="54">
        <v>200</v>
      </c>
      <c r="C111" s="54">
        <f t="shared" si="3"/>
        <v>18000</v>
      </c>
    </row>
    <row r="112" spans="1:4">
      <c r="A112" s="114">
        <v>90</v>
      </c>
      <c r="B112" s="54">
        <v>220</v>
      </c>
      <c r="C112" s="54">
        <f t="shared" si="3"/>
        <v>19800</v>
      </c>
    </row>
    <row r="113" spans="1:9">
      <c r="A113" s="114">
        <v>90</v>
      </c>
      <c r="B113" s="54">
        <v>240</v>
      </c>
      <c r="C113" s="54">
        <f t="shared" si="3"/>
        <v>21600</v>
      </c>
    </row>
    <row r="114" spans="1:9">
      <c r="A114" s="147"/>
      <c r="B114" s="62"/>
      <c r="C114" s="62"/>
    </row>
    <row r="115" spans="1:9">
      <c r="A115" s="147"/>
      <c r="B115" s="62"/>
      <c r="C115" s="62"/>
    </row>
    <row r="116" spans="1:9">
      <c r="A116" s="147"/>
      <c r="B116" s="62"/>
      <c r="C116" s="62"/>
    </row>
    <row r="117" spans="1:9">
      <c r="A117" s="147"/>
      <c r="B117" s="62"/>
      <c r="C117" s="62"/>
    </row>
    <row r="118" spans="1:9">
      <c r="A118" s="147"/>
      <c r="B118" s="62"/>
      <c r="C118" s="62"/>
    </row>
    <row r="119" spans="1:9">
      <c r="A119" s="147"/>
      <c r="B119" s="62"/>
      <c r="C119" s="62"/>
    </row>
    <row r="120" spans="1:9" s="55" customFormat="1" ht="52.5" customHeight="1">
      <c r="A120" s="114" t="str">
        <f>A60</f>
        <v>Story</v>
      </c>
      <c r="B120" s="114" t="s">
        <v>684</v>
      </c>
      <c r="C120" s="114" t="s">
        <v>683</v>
      </c>
      <c r="D120" s="114" t="s">
        <v>682</v>
      </c>
      <c r="E120" s="114" t="s">
        <v>685</v>
      </c>
      <c r="F120" s="114" t="s">
        <v>686</v>
      </c>
      <c r="G120" s="114" t="s">
        <v>687</v>
      </c>
      <c r="H120" s="114" t="s">
        <v>688</v>
      </c>
      <c r="I120" s="114" t="s">
        <v>691</v>
      </c>
    </row>
    <row r="121" spans="1:9">
      <c r="A121" s="114" t="str">
        <f>A61</f>
        <v>RF</v>
      </c>
      <c r="B121" s="149">
        <f>D61</f>
        <v>246.50661020697396</v>
      </c>
      <c r="C121" s="150">
        <f>B121</f>
        <v>246.50661020697396</v>
      </c>
      <c r="D121" s="150">
        <f>C121/4</f>
        <v>61.62665255174349</v>
      </c>
      <c r="E121" s="54">
        <v>3.52</v>
      </c>
      <c r="F121" s="150">
        <f>ATAN(4/5)</f>
        <v>0.67474094222355274</v>
      </c>
      <c r="G121" s="150">
        <f>D121/COS(F121)/E121/0.9/2</f>
        <v>12.455906332888942</v>
      </c>
      <c r="H121" s="54" t="s">
        <v>689</v>
      </c>
      <c r="I121" s="54">
        <f>40*E121*0.9</f>
        <v>126.72000000000001</v>
      </c>
    </row>
    <row r="122" spans="1:9">
      <c r="A122" s="114" t="str">
        <f>A63</f>
        <v>4F</v>
      </c>
      <c r="B122" s="149">
        <f>D63</f>
        <v>153.53113882480693</v>
      </c>
      <c r="C122" s="150">
        <f>B122+B121</f>
        <v>400.03774903178089</v>
      </c>
      <c r="D122" s="150">
        <f>C122/4</f>
        <v>100.00943725794522</v>
      </c>
      <c r="E122" s="54">
        <v>3.52</v>
      </c>
      <c r="F122" s="150">
        <f>ATAN(4/5)</f>
        <v>0.67474094222355274</v>
      </c>
      <c r="G122" s="150">
        <f>D122/COS(F122)/E122/0.9/2</f>
        <v>20.213789510049519</v>
      </c>
      <c r="H122" s="54" t="s">
        <v>689</v>
      </c>
      <c r="I122" s="54">
        <f>40*E122*0.9</f>
        <v>126.72000000000001</v>
      </c>
    </row>
    <row r="123" spans="1:9">
      <c r="A123" s="114" t="str">
        <f>A64</f>
        <v>3F</v>
      </c>
      <c r="B123" s="149">
        <f>D64</f>
        <v>115.1483541186052</v>
      </c>
      <c r="C123" s="150">
        <f>B123+B122+B121</f>
        <v>515.18610315038609</v>
      </c>
      <c r="D123" s="150">
        <f>C123/4</f>
        <v>128.79652578759652</v>
      </c>
      <c r="E123" s="54">
        <v>3.52</v>
      </c>
      <c r="F123" s="150">
        <f>ATAN(4/5)</f>
        <v>0.67474094222355274</v>
      </c>
      <c r="G123" s="150">
        <f>D123/COS(F123)/E123/0.9/2</f>
        <v>26.032201892919957</v>
      </c>
      <c r="H123" s="54" t="s">
        <v>690</v>
      </c>
      <c r="I123" s="54">
        <f>60*E123*0.9</f>
        <v>190.07999999999998</v>
      </c>
    </row>
    <row r="124" spans="1:9">
      <c r="A124" s="114" t="str">
        <f>A66</f>
        <v>1F</v>
      </c>
      <c r="B124" s="149">
        <f>D66</f>
        <v>38.382784706201733</v>
      </c>
      <c r="C124" s="150">
        <f>B124+B123+B122+B121</f>
        <v>553.56888785658782</v>
      </c>
      <c r="D124" s="150">
        <f>C124/4</f>
        <v>138.39222196414696</v>
      </c>
      <c r="E124" s="54">
        <v>3.52</v>
      </c>
      <c r="F124" s="150">
        <f>ATAN(5/5)</f>
        <v>0.78539816339744828</v>
      </c>
      <c r="G124" s="150">
        <f>D124/COS(F124)/E124/0.9/2</f>
        <v>30.889545017147146</v>
      </c>
      <c r="H124" s="54" t="s">
        <v>690</v>
      </c>
      <c r="I124" s="54">
        <f>60*E124*0.9</f>
        <v>190.07999999999998</v>
      </c>
    </row>
    <row r="125" spans="1:9">
      <c r="A125" s="147"/>
      <c r="B125" s="62"/>
      <c r="C125" s="62"/>
    </row>
    <row r="126" spans="1:9" ht="19.5">
      <c r="A126" s="114" t="str">
        <f>A120</f>
        <v>Story</v>
      </c>
      <c r="B126" s="114" t="s">
        <v>693</v>
      </c>
      <c r="C126" s="54" t="s">
        <v>694</v>
      </c>
      <c r="D126" s="54" t="s">
        <v>692</v>
      </c>
      <c r="E126" s="54" t="s">
        <v>695</v>
      </c>
    </row>
    <row r="127" spans="1:9">
      <c r="A127" s="114" t="str">
        <f>A121</f>
        <v>RF</v>
      </c>
      <c r="B127" s="54">
        <v>4000</v>
      </c>
      <c r="C127" s="150">
        <f>SQRT(5000*5000+4000*4000)</f>
        <v>6403.1242374328485</v>
      </c>
      <c r="D127" s="54">
        <v>200</v>
      </c>
      <c r="E127" s="150">
        <f>D127*B127/C127</f>
        <v>124.93900951088486</v>
      </c>
    </row>
    <row r="128" spans="1:9">
      <c r="A128" s="114" t="str">
        <f>A122</f>
        <v>4F</v>
      </c>
      <c r="B128" s="54">
        <v>4000</v>
      </c>
      <c r="C128" s="150">
        <f>SQRT(5000*5000+4000*4000)</f>
        <v>6403.1242374328485</v>
      </c>
      <c r="D128" s="54">
        <v>200</v>
      </c>
      <c r="E128" s="150">
        <f>D128*B128/C128</f>
        <v>124.93900951088486</v>
      </c>
    </row>
    <row r="129" spans="1:5">
      <c r="A129" s="114" t="str">
        <f>A123</f>
        <v>3F</v>
      </c>
      <c r="B129" s="54">
        <v>6000</v>
      </c>
      <c r="C129" s="150">
        <f>SQRT(5000*5000+4000*4000)</f>
        <v>6403.1242374328485</v>
      </c>
      <c r="D129" s="54">
        <v>200</v>
      </c>
      <c r="E129" s="150">
        <f>D129*B129/C129</f>
        <v>187.40851426632727</v>
      </c>
    </row>
    <row r="130" spans="1:5">
      <c r="A130" s="114" t="str">
        <f>A124</f>
        <v>1F</v>
      </c>
      <c r="B130" s="54">
        <v>6000</v>
      </c>
      <c r="C130" s="150">
        <f>SQRT(5000*5000+5000*5000)</f>
        <v>7071.0678118654751</v>
      </c>
      <c r="D130" s="54">
        <v>200</v>
      </c>
      <c r="E130" s="150">
        <f>D130*B130/C130</f>
        <v>169.70562748477141</v>
      </c>
    </row>
    <row r="131" spans="1:5">
      <c r="A131" s="147"/>
      <c r="B131" s="62"/>
      <c r="C131" s="62"/>
    </row>
    <row r="132" spans="1:5">
      <c r="A132" s="147"/>
      <c r="B132" s="62"/>
      <c r="C132" s="62"/>
    </row>
    <row r="133" spans="1:5">
      <c r="A133" s="147"/>
      <c r="B133" s="62"/>
      <c r="C133" s="62"/>
    </row>
  </sheetData>
  <mergeCells count="16">
    <mergeCell ref="F1:I1"/>
    <mergeCell ref="F10:H10"/>
    <mergeCell ref="F12:I12"/>
    <mergeCell ref="F21:H21"/>
    <mergeCell ref="A69:C69"/>
    <mergeCell ref="A33:C33"/>
    <mergeCell ref="A11:C11"/>
    <mergeCell ref="A1:D1"/>
    <mergeCell ref="A13:D13"/>
    <mergeCell ref="A22:C22"/>
    <mergeCell ref="A24:D24"/>
    <mergeCell ref="A35:D35"/>
    <mergeCell ref="A44:C44"/>
    <mergeCell ref="A46:C46"/>
    <mergeCell ref="A47:C47"/>
    <mergeCell ref="A48:C48"/>
  </mergeCells>
  <phoneticPr fontId="1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6</xdr:col>
                <xdr:colOff>57150</xdr:colOff>
                <xdr:row>47</xdr:row>
                <xdr:rowOff>85725</xdr:rowOff>
              </from>
              <to>
                <xdr:col>8</xdr:col>
                <xdr:colOff>352425</xdr:colOff>
                <xdr:row>50</xdr:row>
                <xdr:rowOff>95250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Visio.Drawing.11" shapeId="3074" r:id="rId6">
          <objectPr defaultSize="0" r:id="rId7">
            <anchor moveWithCells="1">
              <from>
                <xdr:col>4</xdr:col>
                <xdr:colOff>714375</xdr:colOff>
                <xdr:row>78</xdr:row>
                <xdr:rowOff>9525</xdr:rowOff>
              </from>
              <to>
                <xdr:col>7</xdr:col>
                <xdr:colOff>257175</xdr:colOff>
                <xdr:row>91</xdr:row>
                <xdr:rowOff>47625</xdr:rowOff>
              </to>
            </anchor>
          </objectPr>
        </oleObject>
      </mc:Choice>
      <mc:Fallback>
        <oleObject progId="Visio.Drawing.11" shapeId="3074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zoomScale="90" zoomScaleNormal="90" workbookViewId="0">
      <selection activeCell="E20" sqref="E20"/>
    </sheetView>
  </sheetViews>
  <sheetFormatPr defaultColWidth="9" defaultRowHeight="15.75"/>
  <cols>
    <col min="1" max="1" width="10.875" style="6" bestFit="1" customWidth="1"/>
    <col min="2" max="2" width="15.25" style="6" bestFit="1" customWidth="1"/>
    <col min="3" max="3" width="14.5" style="6" customWidth="1"/>
    <col min="4" max="4" width="14.25" style="6" customWidth="1"/>
    <col min="5" max="5" width="21.25" style="6" bestFit="1" customWidth="1"/>
    <col min="6" max="7" width="9" style="6"/>
    <col min="8" max="8" width="27.125" style="174" customWidth="1"/>
    <col min="9" max="13" width="9" style="174"/>
    <col min="14" max="14" width="9" style="6"/>
    <col min="15" max="15" width="14.625" style="6" customWidth="1"/>
    <col min="16" max="16" width="13.875" style="6" customWidth="1"/>
    <col min="17" max="17" width="14.5" style="6" bestFit="1" customWidth="1"/>
    <col min="18" max="19" width="15" style="6" bestFit="1" customWidth="1"/>
    <col min="20" max="20" width="2.75" style="154" bestFit="1" customWidth="1"/>
    <col min="21" max="21" width="5.25" style="6" bestFit="1" customWidth="1"/>
    <col min="22" max="22" width="2.375" style="6" customWidth="1"/>
    <col min="23" max="23" width="5.25" style="6" bestFit="1" customWidth="1"/>
    <col min="24" max="24" width="1.875" style="6" customWidth="1"/>
    <col min="25" max="25" width="4.25" style="6" bestFit="1" customWidth="1"/>
    <col min="26" max="26" width="1.625" style="6" customWidth="1"/>
    <col min="27" max="27" width="4.25" style="6" bestFit="1" customWidth="1"/>
    <col min="28" max="16384" width="9" style="6"/>
  </cols>
  <sheetData>
    <row r="1" spans="1:27" s="55" customFormat="1" ht="33.75" customHeight="1">
      <c r="A1" s="114" t="str">
        <f>WEIGHT!A120</f>
        <v>Story</v>
      </c>
      <c r="B1" s="114" t="str">
        <f>WEIGHT!B120</f>
        <v>lateral force (Tf)</v>
      </c>
      <c r="C1" s="114" t="str">
        <f>WEIGHT!C120</f>
        <v>cumulative lateral force (Tf)</v>
      </c>
      <c r="D1" s="114" t="s">
        <v>696</v>
      </c>
      <c r="E1" s="114" t="s">
        <v>697</v>
      </c>
    </row>
    <row r="2" spans="1:27">
      <c r="A2" s="54" t="str">
        <f>WEIGHT!A121</f>
        <v>RF</v>
      </c>
      <c r="B2" s="150">
        <v>284.91134164650379</v>
      </c>
      <c r="C2" s="150">
        <f>B2</f>
        <v>284.91134164650379</v>
      </c>
      <c r="D2" s="150">
        <f t="shared" ref="D2:D7" si="0">C2/4</f>
        <v>71.227835411625946</v>
      </c>
      <c r="E2" s="150">
        <f t="shared" ref="E2:E7" si="1">D2/COS(G2)/2</f>
        <v>50.702568478087144</v>
      </c>
      <c r="G2" s="6">
        <f>ATAN(3.8/3.75)</f>
        <v>0.79202058314011603</v>
      </c>
    </row>
    <row r="3" spans="1:27" s="174" customFormat="1">
      <c r="A3" s="175" t="s">
        <v>822</v>
      </c>
      <c r="B3" s="150">
        <v>226.96221717674811</v>
      </c>
      <c r="C3" s="150">
        <f>C2+B3</f>
        <v>511.87355882325187</v>
      </c>
      <c r="D3" s="150">
        <f t="shared" si="0"/>
        <v>127.96838970581297</v>
      </c>
      <c r="E3" s="150">
        <f t="shared" si="1"/>
        <v>91.09256240335624</v>
      </c>
      <c r="G3" s="174">
        <f t="shared" ref="G3:G7" si="2">ATAN(3.8/3.75)</f>
        <v>0.79202058314011603</v>
      </c>
    </row>
    <row r="4" spans="1:27">
      <c r="A4" s="54" t="str">
        <f>WEIGHT!A122</f>
        <v>4F</v>
      </c>
      <c r="B4" s="150">
        <v>151.30814478449875</v>
      </c>
      <c r="C4" s="90">
        <f>C3+B4</f>
        <v>663.18170360775059</v>
      </c>
      <c r="D4" s="150">
        <f t="shared" si="0"/>
        <v>165.79542590193765</v>
      </c>
      <c r="E4" s="150">
        <f t="shared" si="1"/>
        <v>118.01922502020231</v>
      </c>
      <c r="G4" s="174">
        <f t="shared" si="2"/>
        <v>0.79202058314011603</v>
      </c>
    </row>
    <row r="5" spans="1:27">
      <c r="A5" s="54" t="str">
        <f>WEIGHT!A123</f>
        <v>3F</v>
      </c>
      <c r="B5" s="150">
        <v>75.654072392249375</v>
      </c>
      <c r="C5" s="150">
        <f>C4+B5</f>
        <v>738.83577600000001</v>
      </c>
      <c r="D5" s="150">
        <f t="shared" si="0"/>
        <v>184.708944</v>
      </c>
      <c r="E5" s="150">
        <f t="shared" si="1"/>
        <v>131.48255632862535</v>
      </c>
      <c r="G5" s="174">
        <f t="shared" si="2"/>
        <v>0.79202058314011603</v>
      </c>
    </row>
    <row r="6" spans="1:27" s="174" customFormat="1">
      <c r="A6" s="175" t="s">
        <v>828</v>
      </c>
      <c r="B6" s="150">
        <v>0</v>
      </c>
      <c r="C6" s="150">
        <v>0</v>
      </c>
      <c r="D6" s="150">
        <f t="shared" si="0"/>
        <v>0</v>
      </c>
      <c r="E6" s="150">
        <f t="shared" si="1"/>
        <v>0</v>
      </c>
      <c r="G6" s="174">
        <f t="shared" si="2"/>
        <v>0.79202058314011603</v>
      </c>
    </row>
    <row r="7" spans="1:27">
      <c r="A7" s="54" t="str">
        <f>WEIGHT!A124</f>
        <v>1F</v>
      </c>
      <c r="B7" s="150">
        <v>0</v>
      </c>
      <c r="C7" s="150">
        <f>C6+B7</f>
        <v>0</v>
      </c>
      <c r="D7" s="150">
        <f t="shared" si="0"/>
        <v>0</v>
      </c>
      <c r="E7" s="150">
        <f t="shared" si="1"/>
        <v>0</v>
      </c>
      <c r="G7" s="174">
        <f t="shared" si="2"/>
        <v>0.79202058314011603</v>
      </c>
    </row>
    <row r="9" spans="1:27" ht="16.5" thickBot="1">
      <c r="N9" s="41" t="s">
        <v>729</v>
      </c>
    </row>
    <row r="10" spans="1:27" s="55" customFormat="1" ht="52.5" customHeight="1">
      <c r="A10" s="248" t="s">
        <v>829</v>
      </c>
      <c r="B10" s="249"/>
      <c r="C10" s="250"/>
      <c r="D10" s="248" t="s">
        <v>830</v>
      </c>
      <c r="E10" s="249"/>
      <c r="F10" s="250"/>
      <c r="G10" s="248" t="s">
        <v>832</v>
      </c>
      <c r="H10" s="249"/>
      <c r="I10" s="250"/>
      <c r="N10" s="114" t="str">
        <f>A1</f>
        <v>Story</v>
      </c>
      <c r="O10" s="114" t="str">
        <f t="shared" ref="O10:O16" si="3">E1</f>
        <v>axial force of brace (Tf)</v>
      </c>
      <c r="P10" s="114" t="s">
        <v>723</v>
      </c>
      <c r="Q10" s="114" t="s">
        <v>724</v>
      </c>
      <c r="R10" s="114" t="s">
        <v>725</v>
      </c>
      <c r="S10" s="114" t="s">
        <v>726</v>
      </c>
      <c r="T10" s="245" t="s">
        <v>727</v>
      </c>
      <c r="U10" s="246"/>
      <c r="V10" s="246"/>
      <c r="W10" s="246"/>
      <c r="X10" s="246"/>
      <c r="Y10" s="246"/>
      <c r="Z10" s="246"/>
      <c r="AA10" s="247"/>
    </row>
    <row r="11" spans="1:27">
      <c r="A11" s="157" t="s">
        <v>698</v>
      </c>
      <c r="B11" s="158">
        <v>532</v>
      </c>
      <c r="C11" s="159" t="s">
        <v>699</v>
      </c>
      <c r="D11" s="157" t="s">
        <v>698</v>
      </c>
      <c r="E11" s="158">
        <v>440</v>
      </c>
      <c r="F11" s="159" t="s">
        <v>699</v>
      </c>
      <c r="G11" s="157" t="s">
        <v>698</v>
      </c>
      <c r="H11" s="158">
        <v>442</v>
      </c>
      <c r="I11" s="159" t="s">
        <v>699</v>
      </c>
      <c r="J11" s="177"/>
      <c r="K11" s="177"/>
      <c r="L11" s="177"/>
      <c r="M11" s="177" t="str">
        <f t="shared" ref="M11:M16" si="4">IF(AND(Q11&gt;P11,S11="shear"),"OK","NG")</f>
        <v>OK</v>
      </c>
      <c r="N11" s="155" t="str">
        <f>A2</f>
        <v>RF</v>
      </c>
      <c r="O11" s="150">
        <f t="shared" si="3"/>
        <v>50.702568478087144</v>
      </c>
      <c r="P11" s="150">
        <f t="shared" ref="P11:P16" si="5">O11*SIN(G2)*10/11</f>
        <v>32.807972674445878</v>
      </c>
      <c r="Q11" s="6">
        <f>0.9*H28</f>
        <v>153.846</v>
      </c>
      <c r="R11" s="155">
        <v>150</v>
      </c>
      <c r="S11" s="6" t="str">
        <f>IF(R11&lt;1.6*H27/H28,"shear",IF(R11&gt;2.6*H27/H28,"flexural","combined"))</f>
        <v>shear</v>
      </c>
      <c r="T11" s="170" t="s">
        <v>741</v>
      </c>
      <c r="U11" s="174">
        <f>H11</f>
        <v>442</v>
      </c>
      <c r="V11" s="116" t="s">
        <v>728</v>
      </c>
      <c r="W11" s="174">
        <f>H12</f>
        <v>400</v>
      </c>
      <c r="X11" s="116" t="s">
        <v>728</v>
      </c>
      <c r="Y11" s="174">
        <f>H13</f>
        <v>22</v>
      </c>
      <c r="Z11" s="116" t="s">
        <v>728</v>
      </c>
      <c r="AA11" s="174">
        <f>H14</f>
        <v>36</v>
      </c>
    </row>
    <row r="12" spans="1:27">
      <c r="A12" s="157" t="s">
        <v>700</v>
      </c>
      <c r="B12" s="158">
        <v>314</v>
      </c>
      <c r="C12" s="159" t="s">
        <v>699</v>
      </c>
      <c r="D12" s="157" t="s">
        <v>700</v>
      </c>
      <c r="E12" s="158">
        <v>300</v>
      </c>
      <c r="F12" s="159" t="s">
        <v>699</v>
      </c>
      <c r="G12" s="157" t="s">
        <v>700</v>
      </c>
      <c r="H12" s="158">
        <v>400</v>
      </c>
      <c r="I12" s="159" t="s">
        <v>699</v>
      </c>
      <c r="J12" s="177"/>
      <c r="K12" s="177"/>
      <c r="L12" s="177"/>
      <c r="M12" s="177" t="str">
        <f t="shared" si="4"/>
        <v>OK</v>
      </c>
      <c r="N12" s="175" t="s">
        <v>831</v>
      </c>
      <c r="O12" s="150">
        <f t="shared" si="3"/>
        <v>91.09256240335624</v>
      </c>
      <c r="P12" s="150">
        <f t="shared" si="5"/>
        <v>58.943015864495649</v>
      </c>
      <c r="Q12" s="150">
        <f>Q11</f>
        <v>153.846</v>
      </c>
      <c r="R12" s="175">
        <v>150</v>
      </c>
      <c r="S12" s="170" t="str">
        <f>IF(R12&lt;1.6*H27/H28,"shear",IF(R12&gt;2.6*H27/H28,"flexural","combined"))</f>
        <v>shear</v>
      </c>
      <c r="T12" s="170" t="s">
        <v>741</v>
      </c>
      <c r="U12" s="116">
        <f>U11</f>
        <v>442</v>
      </c>
      <c r="V12" s="116" t="s">
        <v>728</v>
      </c>
      <c r="W12" s="116">
        <f>W11</f>
        <v>400</v>
      </c>
      <c r="X12" s="116" t="s">
        <v>728</v>
      </c>
      <c r="Y12" s="116">
        <f>Y11</f>
        <v>22</v>
      </c>
      <c r="Z12" s="116" t="s">
        <v>728</v>
      </c>
      <c r="AA12" s="89">
        <f>AA11</f>
        <v>36</v>
      </c>
    </row>
    <row r="13" spans="1:27">
      <c r="A13" s="157" t="s">
        <v>701</v>
      </c>
      <c r="B13" s="158">
        <v>25</v>
      </c>
      <c r="C13" s="159" t="s">
        <v>699</v>
      </c>
      <c r="D13" s="157" t="s">
        <v>701</v>
      </c>
      <c r="E13" s="158">
        <v>11</v>
      </c>
      <c r="F13" s="159" t="s">
        <v>699</v>
      </c>
      <c r="G13" s="157" t="s">
        <v>701</v>
      </c>
      <c r="H13" s="158">
        <v>22</v>
      </c>
      <c r="I13" s="159" t="s">
        <v>699</v>
      </c>
      <c r="J13" s="177"/>
      <c r="K13" s="177"/>
      <c r="L13" s="177"/>
      <c r="M13" s="156" t="str">
        <f t="shared" si="4"/>
        <v>OK</v>
      </c>
      <c r="N13" s="155" t="str">
        <f>A4</f>
        <v>4F</v>
      </c>
      <c r="O13" s="90">
        <f t="shared" si="3"/>
        <v>118.01922502020231</v>
      </c>
      <c r="P13" s="150">
        <f t="shared" si="5"/>
        <v>76.36637799119552</v>
      </c>
      <c r="Q13" s="150">
        <f>0.9*E28</f>
        <v>83.991599999999991</v>
      </c>
      <c r="R13" s="175">
        <v>150</v>
      </c>
      <c r="S13" s="170" t="str">
        <f>IF(R13&lt;1.6*E27/E28,"shear",IF(R13&gt;2.6*E27/E28,"flexural","combined"))</f>
        <v>shear</v>
      </c>
      <c r="T13" s="170" t="s">
        <v>741</v>
      </c>
      <c r="U13" s="116">
        <f>E11</f>
        <v>440</v>
      </c>
      <c r="V13" s="116" t="s">
        <v>728</v>
      </c>
      <c r="W13" s="116">
        <f>E12</f>
        <v>300</v>
      </c>
      <c r="X13" s="116" t="s">
        <v>728</v>
      </c>
      <c r="Y13" s="116">
        <f>E13</f>
        <v>11</v>
      </c>
      <c r="Z13" s="116" t="s">
        <v>728</v>
      </c>
      <c r="AA13" s="89">
        <f>E14</f>
        <v>18</v>
      </c>
    </row>
    <row r="14" spans="1:27">
      <c r="A14" s="157" t="s">
        <v>702</v>
      </c>
      <c r="B14" s="158">
        <v>40</v>
      </c>
      <c r="C14" s="159" t="s">
        <v>699</v>
      </c>
      <c r="D14" s="157" t="s">
        <v>702</v>
      </c>
      <c r="E14" s="158">
        <v>18</v>
      </c>
      <c r="F14" s="159" t="s">
        <v>699</v>
      </c>
      <c r="G14" s="157" t="s">
        <v>702</v>
      </c>
      <c r="H14" s="158">
        <v>36</v>
      </c>
      <c r="I14" s="159" t="s">
        <v>699</v>
      </c>
      <c r="J14" s="177"/>
      <c r="K14" s="177"/>
      <c r="L14" s="177"/>
      <c r="M14" s="156" t="str">
        <f t="shared" si="4"/>
        <v>NG</v>
      </c>
      <c r="N14" s="155" t="str">
        <f>A5</f>
        <v>3F</v>
      </c>
      <c r="O14" s="150">
        <f t="shared" si="3"/>
        <v>131.48255632862535</v>
      </c>
      <c r="P14" s="150">
        <f t="shared" si="5"/>
        <v>85.078059054545434</v>
      </c>
      <c r="Q14" s="150">
        <f>Q13</f>
        <v>83.991599999999991</v>
      </c>
      <c r="R14" s="175">
        <v>150</v>
      </c>
      <c r="S14" s="170" t="str">
        <f>IF(R14&lt;1.6*E27/E28,"shear",IF(R14&gt;2.6*E27/E28,"flexural","combined"))</f>
        <v>shear</v>
      </c>
      <c r="T14" s="170" t="s">
        <v>741</v>
      </c>
      <c r="U14" s="116">
        <f t="shared" ref="U14:AA14" si="6">U13</f>
        <v>440</v>
      </c>
      <c r="V14" s="116" t="str">
        <f t="shared" si="6"/>
        <v>x</v>
      </c>
      <c r="W14" s="116">
        <f t="shared" si="6"/>
        <v>300</v>
      </c>
      <c r="X14" s="116" t="str">
        <f t="shared" si="6"/>
        <v>x</v>
      </c>
      <c r="Y14" s="116">
        <f t="shared" si="6"/>
        <v>11</v>
      </c>
      <c r="Z14" s="116" t="str">
        <f t="shared" si="6"/>
        <v>x</v>
      </c>
      <c r="AA14" s="89">
        <f t="shared" si="6"/>
        <v>18</v>
      </c>
    </row>
    <row r="15" spans="1:27">
      <c r="A15" s="157" t="s">
        <v>703</v>
      </c>
      <c r="B15" s="62">
        <v>3.5</v>
      </c>
      <c r="C15" s="159" t="s">
        <v>718</v>
      </c>
      <c r="D15" s="157" t="s">
        <v>703</v>
      </c>
      <c r="E15" s="62">
        <v>3.5</v>
      </c>
      <c r="F15" s="159" t="s">
        <v>718</v>
      </c>
      <c r="G15" s="157" t="s">
        <v>703</v>
      </c>
      <c r="H15" s="62">
        <v>3.5</v>
      </c>
      <c r="I15" s="159" t="s">
        <v>718</v>
      </c>
      <c r="M15" s="156" t="str">
        <f t="shared" si="4"/>
        <v>OK</v>
      </c>
      <c r="N15" s="175" t="s">
        <v>819</v>
      </c>
      <c r="O15" s="150">
        <f t="shared" si="3"/>
        <v>0</v>
      </c>
      <c r="P15" s="150">
        <f t="shared" si="5"/>
        <v>0</v>
      </c>
      <c r="Q15" s="150">
        <f>0.9*B28</f>
        <v>213.57000000000002</v>
      </c>
      <c r="R15" s="175">
        <v>150</v>
      </c>
      <c r="S15" s="170" t="str">
        <f>IF(R15&lt;1.6*B27/B28,"shear",IF(R15&gt;2.6*B27/B28,"flexural","combined"))</f>
        <v>shear</v>
      </c>
      <c r="T15" s="170" t="s">
        <v>741</v>
      </c>
      <c r="U15" s="116">
        <f>B11</f>
        <v>532</v>
      </c>
      <c r="V15" s="116" t="str">
        <f>V14</f>
        <v>x</v>
      </c>
      <c r="W15" s="116">
        <f>B12</f>
        <v>314</v>
      </c>
      <c r="X15" s="116" t="str">
        <f>X14</f>
        <v>x</v>
      </c>
      <c r="Y15" s="116">
        <f>B13</f>
        <v>25</v>
      </c>
      <c r="Z15" s="116" t="str">
        <f>Z14</f>
        <v>x</v>
      </c>
      <c r="AA15" s="89">
        <f>B14</f>
        <v>40</v>
      </c>
    </row>
    <row r="16" spans="1:27" ht="16.5">
      <c r="A16" s="160"/>
      <c r="B16" s="161"/>
      <c r="C16" s="162"/>
      <c r="D16" s="157"/>
      <c r="E16" s="62"/>
      <c r="F16" s="159"/>
      <c r="G16" s="157"/>
      <c r="H16" s="62"/>
      <c r="I16" s="159"/>
      <c r="M16" s="156" t="str">
        <f t="shared" si="4"/>
        <v>OK</v>
      </c>
      <c r="N16" s="155" t="str">
        <f>A7</f>
        <v>1F</v>
      </c>
      <c r="O16" s="150">
        <f t="shared" si="3"/>
        <v>0</v>
      </c>
      <c r="P16" s="150">
        <f t="shared" si="5"/>
        <v>0</v>
      </c>
      <c r="Q16" s="150">
        <f>Q15</f>
        <v>213.57000000000002</v>
      </c>
      <c r="R16" s="155">
        <v>150</v>
      </c>
      <c r="S16" s="170" t="str">
        <f>IF(R16&lt;1.6*B27/B28,"shear",IF(R16&gt;2.6*B27/B28,"flexural","combined"))</f>
        <v>shear</v>
      </c>
      <c r="T16" s="170" t="s">
        <v>741</v>
      </c>
      <c r="U16" s="116">
        <f>U15</f>
        <v>532</v>
      </c>
      <c r="V16" s="116" t="str">
        <f>V15</f>
        <v>x</v>
      </c>
      <c r="W16" s="116">
        <f>W15</f>
        <v>314</v>
      </c>
      <c r="X16" s="116" t="str">
        <f>X15</f>
        <v>x</v>
      </c>
      <c r="Y16" s="116">
        <f>Y15</f>
        <v>25</v>
      </c>
      <c r="Z16" s="116" t="str">
        <f>Z15</f>
        <v>x</v>
      </c>
      <c r="AA16" s="89">
        <f>AA15</f>
        <v>40</v>
      </c>
    </row>
    <row r="17" spans="1:28" ht="16.5">
      <c r="A17" s="163" t="s">
        <v>704</v>
      </c>
      <c r="B17" s="161"/>
      <c r="C17" s="162"/>
      <c r="D17" s="163" t="s">
        <v>704</v>
      </c>
      <c r="E17" s="161"/>
      <c r="F17" s="162"/>
      <c r="G17" s="163" t="s">
        <v>704</v>
      </c>
      <c r="H17" s="161"/>
      <c r="I17" s="162"/>
      <c r="AB17" s="154"/>
    </row>
    <row r="18" spans="1:28">
      <c r="A18" s="164" t="s">
        <v>705</v>
      </c>
      <c r="B18" s="155"/>
      <c r="C18" s="93"/>
      <c r="D18" s="164" t="s">
        <v>705</v>
      </c>
      <c r="E18" s="155"/>
      <c r="F18" s="93"/>
      <c r="G18" s="164" t="s">
        <v>705</v>
      </c>
      <c r="H18" s="175"/>
      <c r="I18" s="93"/>
      <c r="N18" s="173" t="s">
        <v>754</v>
      </c>
    </row>
    <row r="19" spans="1:28" ht="18.75">
      <c r="A19" s="164" t="s">
        <v>707</v>
      </c>
      <c r="B19" s="155">
        <f>B12*B14*2+(B11-B14-B14)*B13</f>
        <v>36420</v>
      </c>
      <c r="C19" s="93" t="s">
        <v>708</v>
      </c>
      <c r="D19" s="164" t="s">
        <v>707</v>
      </c>
      <c r="E19" s="155">
        <f>E12*E14*2+(E11-E14-E14)*E13</f>
        <v>15244</v>
      </c>
      <c r="F19" s="93" t="s">
        <v>708</v>
      </c>
      <c r="G19" s="164" t="s">
        <v>707</v>
      </c>
      <c r="H19" s="175">
        <f>H12*H14*2+(H11-H14-H14)*H13</f>
        <v>36940</v>
      </c>
      <c r="I19" s="93" t="s">
        <v>708</v>
      </c>
      <c r="N19" s="175" t="s">
        <v>731</v>
      </c>
      <c r="O19" s="175" t="s">
        <v>738</v>
      </c>
      <c r="P19" s="175" t="s">
        <v>739</v>
      </c>
      <c r="Q19" s="175" t="s">
        <v>755</v>
      </c>
      <c r="R19" s="175" t="s">
        <v>756</v>
      </c>
    </row>
    <row r="20" spans="1:28" ht="18">
      <c r="A20" s="164" t="s">
        <v>709</v>
      </c>
      <c r="B20" s="155">
        <f>(B13*(B11-B14-B14)^3)/12+2*(B12*B14*B14*B14/12+B12*B14*(B11*0.5-0.5*B14)^2)</f>
        <v>1715897520</v>
      </c>
      <c r="C20" s="93" t="s">
        <v>710</v>
      </c>
      <c r="D20" s="164" t="s">
        <v>709</v>
      </c>
      <c r="E20" s="155">
        <f>(E13*(E11-E14-E14)^3)/12+2*(E12*E14*E14*E14/12+E12*E14*(E11*0.5-0.5*E14)^2)</f>
        <v>541562725.33333337</v>
      </c>
      <c r="F20" s="93" t="s">
        <v>710</v>
      </c>
      <c r="G20" s="164" t="s">
        <v>709</v>
      </c>
      <c r="H20" s="175">
        <f>(H13*(H11-H14-H14)^3)/12+2*(H12*H14*H14*H14/12+H12*H14*(H11*0.5-0.5*H14)^2)</f>
        <v>1282793433.3333333</v>
      </c>
      <c r="I20" s="93" t="s">
        <v>710</v>
      </c>
      <c r="N20" s="175" t="s">
        <v>834</v>
      </c>
      <c r="O20" s="175">
        <f>1.1*1.1*$H$28</f>
        <v>206.83740000000003</v>
      </c>
      <c r="P20" s="150">
        <f t="shared" ref="P20:P25" si="7">P46</f>
        <v>17628.1875</v>
      </c>
      <c r="Q20" s="150">
        <f t="shared" ref="Q20:Q25" si="8">1.1*O20/TAN(Q46)</f>
        <v>224.52744078947379</v>
      </c>
      <c r="R20" s="150">
        <f t="shared" ref="R20:R25" si="9">P20-S46</f>
        <v>12494.686762839036</v>
      </c>
    </row>
    <row r="21" spans="1:28" ht="18">
      <c r="A21" s="164" t="s">
        <v>711</v>
      </c>
      <c r="B21" s="155">
        <f>(B11-B14-B14)*B13*B13*B13/12+B14*B12*B12*B12*2/12</f>
        <v>206982835</v>
      </c>
      <c r="C21" s="93" t="s">
        <v>710</v>
      </c>
      <c r="D21" s="164" t="s">
        <v>711</v>
      </c>
      <c r="E21" s="155">
        <f>(E11-E14-E14)*E13*E13*E13/12+E14*E12*E12*E12*2/12</f>
        <v>81044810.333333328</v>
      </c>
      <c r="F21" s="93" t="s">
        <v>710</v>
      </c>
      <c r="G21" s="164" t="s">
        <v>711</v>
      </c>
      <c r="H21" s="175">
        <f>(H11-H14-H14)*H13*H13*H13/12+H14*H12*H12*H12*2/12</f>
        <v>384328313.33333331</v>
      </c>
      <c r="I21" s="93" t="s">
        <v>710</v>
      </c>
      <c r="N21" s="175" t="s">
        <v>833</v>
      </c>
      <c r="O21" s="175">
        <f>1.1*1.1*$H$28</f>
        <v>206.83740000000003</v>
      </c>
      <c r="P21" s="150">
        <f t="shared" si="7"/>
        <v>17628.1875</v>
      </c>
      <c r="Q21" s="150">
        <f t="shared" si="8"/>
        <v>224.52744078947379</v>
      </c>
      <c r="R21" s="150">
        <f t="shared" si="9"/>
        <v>12494.686762839036</v>
      </c>
    </row>
    <row r="22" spans="1:28" ht="18">
      <c r="A22" s="164" t="s">
        <v>712</v>
      </c>
      <c r="B22" s="155">
        <f>(B11-B14-B14)*B13*B13*B13/3+B12*B14*B14*B14/3*2</f>
        <v>15751500</v>
      </c>
      <c r="C22" s="93" t="s">
        <v>710</v>
      </c>
      <c r="D22" s="164" t="s">
        <v>712</v>
      </c>
      <c r="E22" s="155">
        <f>(E11-E14-E14)*E13*E13*E13/3+E12*E14*E14*E14/3*2</f>
        <v>1345641.3333333333</v>
      </c>
      <c r="F22" s="93" t="s">
        <v>710</v>
      </c>
      <c r="G22" s="164" t="s">
        <v>712</v>
      </c>
      <c r="H22" s="175">
        <f>(H11-H14-H14)*H13*H13*H13/3+H12*H14*H14*H14/3*2</f>
        <v>13754853.333333334</v>
      </c>
      <c r="I22" s="93" t="s">
        <v>710</v>
      </c>
      <c r="N22" s="175" t="s">
        <v>734</v>
      </c>
      <c r="O22" s="150">
        <f>1.1*1.1*$E$28</f>
        <v>112.92204</v>
      </c>
      <c r="P22" s="150">
        <f t="shared" si="7"/>
        <v>9624.0374999999985</v>
      </c>
      <c r="Q22" s="150">
        <f t="shared" si="8"/>
        <v>122.57984605263161</v>
      </c>
      <c r="R22" s="150">
        <f t="shared" si="9"/>
        <v>5479.8481938260693</v>
      </c>
    </row>
    <row r="23" spans="1:28" ht="18">
      <c r="A23" s="164" t="s">
        <v>713</v>
      </c>
      <c r="B23" s="155">
        <f>B20/(B11/2)</f>
        <v>6450742.5563909775</v>
      </c>
      <c r="C23" s="93" t="s">
        <v>714</v>
      </c>
      <c r="D23" s="164" t="s">
        <v>713</v>
      </c>
      <c r="E23" s="155">
        <f>E20/(E11/2)</f>
        <v>2461648.7515151515</v>
      </c>
      <c r="F23" s="93" t="s">
        <v>714</v>
      </c>
      <c r="G23" s="164" t="s">
        <v>713</v>
      </c>
      <c r="H23" s="175">
        <f>H20/(H11/2)</f>
        <v>5804495.1734539969</v>
      </c>
      <c r="I23" s="93" t="s">
        <v>714</v>
      </c>
      <c r="N23" s="175" t="s">
        <v>736</v>
      </c>
      <c r="O23" s="150">
        <f>1.1*1.1*$E$28</f>
        <v>112.92204</v>
      </c>
      <c r="P23" s="150">
        <f t="shared" si="7"/>
        <v>9624.0374999999985</v>
      </c>
      <c r="Q23" s="150">
        <f t="shared" si="8"/>
        <v>122.57984605263161</v>
      </c>
      <c r="R23" s="150">
        <f t="shared" si="9"/>
        <v>5479.8481938260693</v>
      </c>
    </row>
    <row r="24" spans="1:28" ht="18">
      <c r="A24" s="164" t="s">
        <v>715</v>
      </c>
      <c r="B24" s="155">
        <f>B21/(B12/2)</f>
        <v>1318362.0063694268</v>
      </c>
      <c r="C24" s="93" t="s">
        <v>714</v>
      </c>
      <c r="D24" s="164" t="s">
        <v>715</v>
      </c>
      <c r="E24" s="155">
        <f>E21/(E12/2)</f>
        <v>540298.73555555556</v>
      </c>
      <c r="F24" s="93" t="s">
        <v>714</v>
      </c>
      <c r="G24" s="164" t="s">
        <v>715</v>
      </c>
      <c r="H24" s="175">
        <f>H21/(H12/2)</f>
        <v>1921641.5666666667</v>
      </c>
      <c r="I24" s="93" t="s">
        <v>714</v>
      </c>
      <c r="J24" s="177"/>
      <c r="K24" s="177"/>
      <c r="L24" s="177"/>
      <c r="N24" s="175" t="s">
        <v>821</v>
      </c>
      <c r="O24" s="150">
        <f>1.1*1.1*$B$28</f>
        <v>287.13300000000004</v>
      </c>
      <c r="P24" s="150">
        <f t="shared" si="7"/>
        <v>24471.5625</v>
      </c>
      <c r="Q24" s="150">
        <f t="shared" si="8"/>
        <v>311.69042763157904</v>
      </c>
      <c r="R24" s="150">
        <f t="shared" si="9"/>
        <v>10801.492060674835</v>
      </c>
    </row>
    <row r="25" spans="1:28" ht="18">
      <c r="A25" s="164" t="s">
        <v>716</v>
      </c>
      <c r="B25" s="155">
        <f>B12*B11*B11*0.25-(B12-B13)*((B11-2*B14)^2)*0.25</f>
        <v>7456420</v>
      </c>
      <c r="C25" s="93" t="s">
        <v>714</v>
      </c>
      <c r="D25" s="164" t="s">
        <v>716</v>
      </c>
      <c r="E25" s="155">
        <f>E12*E11*E11*0.25-(E12-E13)*(E11-2*E14)^2*0.25</f>
        <v>2727644</v>
      </c>
      <c r="F25" s="93" t="s">
        <v>714</v>
      </c>
      <c r="G25" s="164" t="s">
        <v>716</v>
      </c>
      <c r="H25" s="175">
        <f>H12*H11*H11*0.25-(H12-H13)*(H11-2*H14)^2*0.25</f>
        <v>6599350</v>
      </c>
      <c r="I25" s="93" t="s">
        <v>714</v>
      </c>
      <c r="J25" s="177"/>
      <c r="K25" s="177"/>
      <c r="L25" s="177"/>
      <c r="N25" s="175" t="s">
        <v>835</v>
      </c>
      <c r="O25" s="150">
        <f>1.1*1.1*$B$28</f>
        <v>287.13300000000004</v>
      </c>
      <c r="P25" s="150">
        <f t="shared" si="7"/>
        <v>24471.5625</v>
      </c>
      <c r="Q25" s="150">
        <f t="shared" si="8"/>
        <v>311.69042763157904</v>
      </c>
      <c r="R25" s="150">
        <f t="shared" si="9"/>
        <v>10801.492060674835</v>
      </c>
    </row>
    <row r="26" spans="1:28" ht="18.75" thickBot="1">
      <c r="A26" s="166" t="s">
        <v>717</v>
      </c>
      <c r="B26" s="146">
        <f>B14*B12*B12*0.25*2+(B11-2*B14)*B13*B13*0.25</f>
        <v>2042545</v>
      </c>
      <c r="C26" s="167" t="s">
        <v>714</v>
      </c>
      <c r="D26" s="166" t="s">
        <v>717</v>
      </c>
      <c r="E26" s="146">
        <f>E14*E12*E12*0.25*2+(E11-2*E14)*E13*E13*0.25</f>
        <v>822221</v>
      </c>
      <c r="F26" s="167" t="s">
        <v>714</v>
      </c>
      <c r="G26" s="166" t="s">
        <v>717</v>
      </c>
      <c r="H26" s="146">
        <f>H14*H12*H12*0.25*2+(H11-2*H14)*H13*H13*0.25</f>
        <v>2924770</v>
      </c>
      <c r="I26" s="167" t="s">
        <v>714</v>
      </c>
      <c r="J26" s="177"/>
      <c r="K26" s="177"/>
      <c r="L26" s="177"/>
    </row>
    <row r="27" spans="1:28" ht="18.75">
      <c r="A27" s="168" t="s">
        <v>719</v>
      </c>
      <c r="B27" s="169">
        <f>B25*B15/1000</f>
        <v>26097.47</v>
      </c>
      <c r="C27" s="99" t="s">
        <v>721</v>
      </c>
      <c r="D27" s="168" t="s">
        <v>719</v>
      </c>
      <c r="E27" s="169">
        <f>E25*E15/1000</f>
        <v>9546.7540000000008</v>
      </c>
      <c r="F27" s="99" t="s">
        <v>721</v>
      </c>
      <c r="G27" s="168" t="s">
        <v>719</v>
      </c>
      <c r="H27" s="169">
        <f>H25*H15/1000</f>
        <v>23097.724999999999</v>
      </c>
      <c r="I27" s="99" t="s">
        <v>721</v>
      </c>
      <c r="J27" s="177"/>
      <c r="K27" s="177"/>
      <c r="L27" s="177"/>
      <c r="N27" s="175" t="s">
        <v>731</v>
      </c>
      <c r="O27" s="175" t="s">
        <v>747</v>
      </c>
      <c r="P27" s="175" t="s">
        <v>745</v>
      </c>
      <c r="Q27" s="175" t="s">
        <v>746</v>
      </c>
      <c r="R27" s="175" t="s">
        <v>744</v>
      </c>
    </row>
    <row r="28" spans="1:28" ht="16.5" thickBot="1">
      <c r="A28" s="165" t="s">
        <v>720</v>
      </c>
      <c r="B28" s="94">
        <f>0.6*(B11-B14-B14)*B13*B15/10/10</f>
        <v>237.3</v>
      </c>
      <c r="C28" s="95" t="s">
        <v>722</v>
      </c>
      <c r="D28" s="165" t="s">
        <v>720</v>
      </c>
      <c r="E28" s="94">
        <f>0.6*(E11-E14-E14)*E13*E15/10/10</f>
        <v>93.323999999999984</v>
      </c>
      <c r="F28" s="95" t="s">
        <v>722</v>
      </c>
      <c r="G28" s="165" t="s">
        <v>720</v>
      </c>
      <c r="H28" s="94">
        <f>0.6*(H11-H14-H14)*H13*H15/10/10</f>
        <v>170.94</v>
      </c>
      <c r="I28" s="95" t="s">
        <v>722</v>
      </c>
      <c r="M28" s="177" t="str">
        <f t="shared" ref="M28:M33" si="10">IF(R28&lt;1,"OK","NG")</f>
        <v>OK</v>
      </c>
      <c r="N28" s="175" t="s">
        <v>834</v>
      </c>
      <c r="O28" s="175">
        <f>0.7*375/SQRT((H21/10000)/(H19/100))*SQRT(3.52/2039/PI()/PI())</f>
        <v>0.34036070101325083</v>
      </c>
      <c r="P28" s="175">
        <f>IF(O28&lt;=1.5,(0.658^(O28*O28))*3.52*H19/100,0.877/O28/O28*3.52*H19/100)</f>
        <v>1238.7448424042261</v>
      </c>
      <c r="Q28" s="175">
        <f>IF(AND(H29&lt;H31,H32&lt;H34),H27,0)</f>
        <v>23097.724999999999</v>
      </c>
      <c r="R28" s="150">
        <f t="shared" ref="R28:R33" si="11">IF(Q20/(0.85*P28)&gt;=0.2,Q20/(0.85*P28)+8*R20/(9*0.9*Q28),Q20/(0.85*P28)+R20/(0.9*Q28))</f>
        <v>0.74751040977028438</v>
      </c>
      <c r="S28" s="177" t="str">
        <f t="shared" ref="S28:S33" si="12">M28</f>
        <v>OK</v>
      </c>
      <c r="U28" s="6">
        <v>0.74751040977028438</v>
      </c>
    </row>
    <row r="29" spans="1:28" s="174" customFormat="1">
      <c r="A29" s="168" t="s">
        <v>748</v>
      </c>
      <c r="B29" s="169">
        <f>B12*0.5/B14</f>
        <v>3.9249999999999998</v>
      </c>
      <c r="C29" s="169"/>
      <c r="D29" s="169" t="s">
        <v>748</v>
      </c>
      <c r="E29" s="169">
        <f>E12*0.5/E14</f>
        <v>8.3333333333333339</v>
      </c>
      <c r="F29" s="99"/>
      <c r="G29" s="169" t="s">
        <v>748</v>
      </c>
      <c r="H29" s="169">
        <f>H12*0.5/H14</f>
        <v>5.5555555555555554</v>
      </c>
      <c r="I29" s="99"/>
      <c r="M29" s="177" t="str">
        <f t="shared" si="10"/>
        <v>OK</v>
      </c>
      <c r="N29" s="175" t="s">
        <v>843</v>
      </c>
      <c r="O29" s="175">
        <f>0.7*425/SQRT((H21/10000)/(H19/100))*SQRT(3.52/2039/PI()/PI())</f>
        <v>0.3857421278150176</v>
      </c>
      <c r="P29" s="175">
        <f>IF(O29&lt;=1.5,(0.658^(O29*O29))*3.52*H19/100,0.877/O29/O29*3.52*H19/100)</f>
        <v>1221.7774770718038</v>
      </c>
      <c r="Q29" s="175">
        <f>IF(AND(H29&lt;H31,H32&lt;H34),H27,0)</f>
        <v>23097.724999999999</v>
      </c>
      <c r="R29" s="150">
        <f t="shared" si="11"/>
        <v>0.75047176793856252</v>
      </c>
      <c r="S29" s="177" t="str">
        <f t="shared" si="12"/>
        <v>OK</v>
      </c>
      <c r="T29" s="154"/>
      <c r="U29" s="6"/>
      <c r="V29" s="6"/>
      <c r="W29" s="6"/>
      <c r="X29" s="6"/>
      <c r="Y29" s="6"/>
      <c r="Z29" s="6"/>
      <c r="AA29" s="6"/>
    </row>
    <row r="30" spans="1:28" s="174" customFormat="1">
      <c r="A30" s="164" t="s">
        <v>749</v>
      </c>
      <c r="B30" s="175">
        <f>25/SQRT(B15)</f>
        <v>13.363062095621219</v>
      </c>
      <c r="C30" s="175"/>
      <c r="D30" s="175" t="s">
        <v>749</v>
      </c>
      <c r="E30" s="175">
        <f>25/SQRT(E15)</f>
        <v>13.363062095621219</v>
      </c>
      <c r="F30" s="93"/>
      <c r="G30" s="175" t="s">
        <v>749</v>
      </c>
      <c r="H30" s="175">
        <f>25/SQRT(H15)</f>
        <v>13.363062095621219</v>
      </c>
      <c r="I30" s="93"/>
      <c r="M30" s="177" t="str">
        <f t="shared" si="10"/>
        <v>OK</v>
      </c>
      <c r="N30" s="175" t="s">
        <v>586</v>
      </c>
      <c r="O30" s="150">
        <f>0.7*425/SQRT((E21/10000)/(E19/100))*SQRT(3.52/2039/PI()/PI())</f>
        <v>0.53961831458436582</v>
      </c>
      <c r="P30" s="150">
        <f>IF(O30&lt;=1.5,(0.658^(O30*O30))*3.52*E19/100,0.877/O30/O30*3.52*E19/100)</f>
        <v>475.01921611315868</v>
      </c>
      <c r="Q30" s="150">
        <f>IF(AND(E29&lt;E31,E32&lt;E34),E27,0)</f>
        <v>9546.7540000000008</v>
      </c>
      <c r="R30" s="150">
        <f t="shared" si="11"/>
        <v>0.87050581151094608</v>
      </c>
      <c r="S30" s="177" t="str">
        <f t="shared" si="12"/>
        <v>OK</v>
      </c>
      <c r="T30" s="154"/>
      <c r="U30" s="6"/>
      <c r="V30" s="6"/>
      <c r="W30" s="6"/>
      <c r="X30" s="6"/>
      <c r="Y30" s="6"/>
      <c r="Z30" s="6"/>
      <c r="AA30" s="6"/>
    </row>
    <row r="31" spans="1:28" s="174" customFormat="1">
      <c r="A31" s="164" t="s">
        <v>750</v>
      </c>
      <c r="B31" s="175">
        <f>16/SQRT(B15)</f>
        <v>8.5523597411975807</v>
      </c>
      <c r="C31" s="175"/>
      <c r="D31" s="175" t="s">
        <v>750</v>
      </c>
      <c r="E31" s="175">
        <f>16/SQRT(E15)</f>
        <v>8.5523597411975807</v>
      </c>
      <c r="F31" s="93"/>
      <c r="G31" s="175" t="s">
        <v>750</v>
      </c>
      <c r="H31" s="175">
        <f>16/SQRT(H15)</f>
        <v>8.5523597411975807</v>
      </c>
      <c r="I31" s="93"/>
      <c r="M31" s="177" t="str">
        <f t="shared" si="10"/>
        <v>OK</v>
      </c>
      <c r="N31" s="175" t="s">
        <v>842</v>
      </c>
      <c r="O31" s="150">
        <f>0.7*425/SQRT((E21/10000)/(E19/100))*SQRT(3.52/2039/PI()/PI())</f>
        <v>0.53961831458436582</v>
      </c>
      <c r="P31" s="150">
        <f>IF(O31&lt;=1.5,(0.658^(O31*O31))*3.52*E19/100,0.877/O31/O31*3.52*E19/100)</f>
        <v>475.01921611315868</v>
      </c>
      <c r="Q31" s="150">
        <f>IF(AND(E29&lt;E31,E32&lt;E34),E27,0)</f>
        <v>9546.7540000000008</v>
      </c>
      <c r="R31" s="150">
        <f t="shared" si="11"/>
        <v>0.87050581151094608</v>
      </c>
      <c r="S31" s="177" t="str">
        <f t="shared" si="12"/>
        <v>OK</v>
      </c>
    </row>
    <row r="32" spans="1:28" s="174" customFormat="1">
      <c r="A32" s="164" t="s">
        <v>751</v>
      </c>
      <c r="B32" s="175">
        <f>(B11-B14-B14)/B13</f>
        <v>18.079999999999998</v>
      </c>
      <c r="C32" s="175"/>
      <c r="D32" s="175" t="s">
        <v>751</v>
      </c>
      <c r="E32" s="175">
        <f>(E11-E14-E14)/E13</f>
        <v>36.727272727272727</v>
      </c>
      <c r="F32" s="93"/>
      <c r="G32" s="175" t="s">
        <v>751</v>
      </c>
      <c r="H32" s="175">
        <f>(H11-H14-H14)/H13</f>
        <v>16.818181818181817</v>
      </c>
      <c r="I32" s="93"/>
      <c r="M32" s="177" t="str">
        <f t="shared" si="10"/>
        <v>OK</v>
      </c>
      <c r="N32" s="175" t="s">
        <v>841</v>
      </c>
      <c r="O32" s="150">
        <f>0.7*425/SQRT((B21/10000)/(B19/100))*SQRT(3.52/2039/PI()/PI())</f>
        <v>0.52191841612936118</v>
      </c>
      <c r="P32" s="150">
        <f>IF(O32&lt;=1.5,(0.658^(O32*O32))*3.52*B19/100,0.877/O32/O32*3.52*B19/100)</f>
        <v>1143.8459806880287</v>
      </c>
      <c r="Q32" s="150">
        <f>IF(AND(B29&lt;B31,B32&lt;B34),B27,0)</f>
        <v>26097.47</v>
      </c>
      <c r="R32" s="150">
        <f t="shared" si="11"/>
        <v>0.72936104938278101</v>
      </c>
      <c r="S32" s="177" t="str">
        <f t="shared" si="12"/>
        <v>OK</v>
      </c>
    </row>
    <row r="33" spans="1:27" s="174" customFormat="1">
      <c r="A33" s="164" t="s">
        <v>752</v>
      </c>
      <c r="B33" s="175">
        <f>260/SQRT(B15)</f>
        <v>138.9758457944607</v>
      </c>
      <c r="C33" s="175"/>
      <c r="D33" s="175" t="s">
        <v>752</v>
      </c>
      <c r="E33" s="175">
        <f>260/SQRT(E15)</f>
        <v>138.9758457944607</v>
      </c>
      <c r="F33" s="93"/>
      <c r="G33" s="175" t="s">
        <v>752</v>
      </c>
      <c r="H33" s="175">
        <f>260/SQRT(H15)</f>
        <v>138.9758457944607</v>
      </c>
      <c r="I33" s="93"/>
      <c r="M33" s="177" t="str">
        <f t="shared" si="10"/>
        <v>OK</v>
      </c>
      <c r="N33" s="175" t="s">
        <v>840</v>
      </c>
      <c r="O33" s="150">
        <f>0.7*425/SQRT((B21/10000)/(B19/100))*SQRT(3.52/2039/PI()/PI())</f>
        <v>0.52191841612936118</v>
      </c>
      <c r="P33" s="150">
        <f>IF(O33&lt;=1.5,(0.658^(O33*O33))*3.52*B19/100,0.877/O33/O33*3.52*B19/100)</f>
        <v>1143.8459806880287</v>
      </c>
      <c r="Q33" s="150">
        <f>IF(AND(B29&lt;B31,B32&lt;B34),B27,0)</f>
        <v>26097.47</v>
      </c>
      <c r="R33" s="150">
        <f t="shared" si="11"/>
        <v>0.72936104938278101</v>
      </c>
      <c r="S33" s="177" t="str">
        <f t="shared" si="12"/>
        <v>OK</v>
      </c>
    </row>
    <row r="34" spans="1:27" s="174" customFormat="1" ht="16.5" thickBot="1">
      <c r="A34" s="165" t="s">
        <v>753</v>
      </c>
      <c r="B34" s="94">
        <f>170/SQRT(B15)</f>
        <v>90.868822250224298</v>
      </c>
      <c r="C34" s="94"/>
      <c r="D34" s="94" t="s">
        <v>753</v>
      </c>
      <c r="E34" s="94">
        <f>170/SQRT(E15)</f>
        <v>90.868822250224298</v>
      </c>
      <c r="F34" s="95"/>
      <c r="G34" s="94" t="s">
        <v>753</v>
      </c>
      <c r="H34" s="94">
        <f>170/SQRT(H15)</f>
        <v>90.868822250224298</v>
      </c>
      <c r="I34" s="95"/>
      <c r="N34" s="6"/>
      <c r="O34" s="6"/>
      <c r="P34" s="6"/>
      <c r="Q34" s="6"/>
      <c r="R34" s="6"/>
    </row>
    <row r="35" spans="1:27"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</row>
    <row r="36" spans="1:27" ht="16.5" thickBot="1">
      <c r="N36" s="174">
        <f>SQRT((H21/10000)/(H19/100))</f>
        <v>10.200060422835213</v>
      </c>
      <c r="O36" s="174">
        <f>0.7*375/N36*SQRT(3.52/2039/PI()/PI())</f>
        <v>0.34036070101325083</v>
      </c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</row>
    <row r="37" spans="1:27" ht="52.5" customHeight="1">
      <c r="A37" s="248" t="s">
        <v>845</v>
      </c>
      <c r="B37" s="249"/>
      <c r="C37" s="250"/>
      <c r="D37" s="248" t="s">
        <v>838</v>
      </c>
      <c r="E37" s="249"/>
      <c r="F37" s="250"/>
      <c r="G37" s="248" t="s">
        <v>839</v>
      </c>
      <c r="H37" s="249"/>
      <c r="I37" s="250"/>
      <c r="N37" s="174">
        <f>N36/100</f>
        <v>0.10200060422835212</v>
      </c>
      <c r="O37" s="174"/>
      <c r="P37" s="174"/>
      <c r="Q37" s="174"/>
      <c r="R37" s="174"/>
    </row>
    <row r="38" spans="1:27">
      <c r="A38" s="157" t="s">
        <v>698</v>
      </c>
      <c r="B38" s="158">
        <v>718</v>
      </c>
      <c r="C38" s="159" t="s">
        <v>699</v>
      </c>
      <c r="D38" s="157" t="s">
        <v>698</v>
      </c>
      <c r="E38" s="158">
        <v>440</v>
      </c>
      <c r="F38" s="159" t="s">
        <v>699</v>
      </c>
      <c r="G38" s="157" t="s">
        <v>698</v>
      </c>
      <c r="H38" s="158">
        <v>478</v>
      </c>
      <c r="I38" s="159" t="s">
        <v>699</v>
      </c>
      <c r="J38" s="177"/>
      <c r="K38" s="177"/>
      <c r="L38" s="177"/>
      <c r="M38" s="177"/>
      <c r="N38" s="174"/>
      <c r="O38" s="174"/>
      <c r="P38" s="174"/>
      <c r="Q38" s="174"/>
      <c r="R38" s="174"/>
    </row>
    <row r="39" spans="1:27" ht="24" customHeight="1">
      <c r="A39" s="157" t="s">
        <v>700</v>
      </c>
      <c r="B39" s="158">
        <v>308</v>
      </c>
      <c r="C39" s="159" t="s">
        <v>699</v>
      </c>
      <c r="D39" s="157" t="s">
        <v>700</v>
      </c>
      <c r="E39" s="158">
        <v>300</v>
      </c>
      <c r="F39" s="159" t="s">
        <v>699</v>
      </c>
      <c r="G39" s="157" t="s">
        <v>700</v>
      </c>
      <c r="H39" s="158">
        <v>208</v>
      </c>
      <c r="I39" s="159" t="s">
        <v>699</v>
      </c>
      <c r="J39" s="177"/>
      <c r="K39" s="177"/>
      <c r="L39" s="177"/>
      <c r="M39" s="177"/>
      <c r="N39" s="174"/>
      <c r="O39" s="174"/>
      <c r="P39" s="174"/>
      <c r="Q39" s="174"/>
      <c r="R39" s="174"/>
    </row>
    <row r="40" spans="1:27">
      <c r="A40" s="157" t="s">
        <v>701</v>
      </c>
      <c r="B40" s="158">
        <v>21</v>
      </c>
      <c r="C40" s="159" t="s">
        <v>699</v>
      </c>
      <c r="D40" s="157" t="s">
        <v>701</v>
      </c>
      <c r="E40" s="158">
        <v>11</v>
      </c>
      <c r="F40" s="159" t="s">
        <v>699</v>
      </c>
      <c r="G40" s="157" t="s">
        <v>701</v>
      </c>
      <c r="H40" s="158">
        <v>17</v>
      </c>
      <c r="I40" s="159" t="s">
        <v>699</v>
      </c>
      <c r="J40" s="177"/>
      <c r="K40" s="177"/>
      <c r="L40" s="177"/>
      <c r="M40" s="177"/>
      <c r="N40" s="174"/>
      <c r="O40" s="174"/>
      <c r="P40" s="174"/>
      <c r="Q40" s="174"/>
      <c r="R40" s="174"/>
    </row>
    <row r="41" spans="1:27">
      <c r="A41" s="157" t="s">
        <v>702</v>
      </c>
      <c r="B41" s="158">
        <v>33</v>
      </c>
      <c r="C41" s="159" t="s">
        <v>699</v>
      </c>
      <c r="D41" s="157" t="s">
        <v>702</v>
      </c>
      <c r="E41" s="158">
        <v>18</v>
      </c>
      <c r="F41" s="159" t="s">
        <v>699</v>
      </c>
      <c r="G41" s="157" t="s">
        <v>702</v>
      </c>
      <c r="H41" s="158">
        <v>28</v>
      </c>
      <c r="I41" s="159" t="s">
        <v>699</v>
      </c>
      <c r="J41" s="177"/>
      <c r="K41" s="177"/>
      <c r="L41" s="177"/>
      <c r="M41" s="177"/>
    </row>
    <row r="42" spans="1:27">
      <c r="A42" s="157" t="s">
        <v>703</v>
      </c>
      <c r="B42" s="62">
        <v>3.5</v>
      </c>
      <c r="C42" s="159" t="s">
        <v>718</v>
      </c>
      <c r="D42" s="157" t="s">
        <v>703</v>
      </c>
      <c r="E42" s="62">
        <v>3.5</v>
      </c>
      <c r="F42" s="159" t="s">
        <v>718</v>
      </c>
      <c r="G42" s="157" t="s">
        <v>703</v>
      </c>
      <c r="H42" s="62">
        <v>3.5</v>
      </c>
      <c r="I42" s="159" t="s">
        <v>718</v>
      </c>
    </row>
    <row r="43" spans="1:27" ht="16.5">
      <c r="A43" s="160"/>
      <c r="B43" s="161"/>
      <c r="C43" s="162"/>
      <c r="D43" s="157"/>
      <c r="E43" s="62"/>
      <c r="F43" s="159"/>
      <c r="G43" s="157"/>
      <c r="H43" s="62"/>
      <c r="I43" s="159"/>
    </row>
    <row r="44" spans="1:27" ht="16.5">
      <c r="A44" s="163" t="s">
        <v>704</v>
      </c>
      <c r="B44" s="161"/>
      <c r="C44" s="162"/>
      <c r="D44" s="163" t="s">
        <v>704</v>
      </c>
      <c r="E44" s="161"/>
      <c r="F44" s="162"/>
      <c r="G44" s="163" t="s">
        <v>704</v>
      </c>
      <c r="H44" s="161"/>
      <c r="I44" s="162"/>
      <c r="N44" s="41" t="s">
        <v>730</v>
      </c>
    </row>
    <row r="45" spans="1:27" ht="47.25">
      <c r="A45" s="164" t="s">
        <v>705</v>
      </c>
      <c r="B45" s="155"/>
      <c r="C45" s="93"/>
      <c r="D45" s="164" t="s">
        <v>705</v>
      </c>
      <c r="E45" s="155"/>
      <c r="F45" s="93"/>
      <c r="G45" s="164" t="s">
        <v>705</v>
      </c>
      <c r="H45" s="175"/>
      <c r="I45" s="93"/>
      <c r="N45" s="155" t="s">
        <v>731</v>
      </c>
      <c r="O45" s="155" t="s">
        <v>738</v>
      </c>
      <c r="P45" s="155" t="s">
        <v>739</v>
      </c>
      <c r="Q45" s="114" t="s">
        <v>740</v>
      </c>
      <c r="R45" s="155" t="s">
        <v>742</v>
      </c>
      <c r="S45" s="155" t="s">
        <v>743</v>
      </c>
      <c r="T45" s="245" t="s">
        <v>727</v>
      </c>
      <c r="U45" s="246"/>
      <c r="V45" s="246"/>
      <c r="W45" s="246"/>
      <c r="X45" s="246"/>
      <c r="Y45" s="246"/>
      <c r="Z45" s="246"/>
      <c r="AA45" s="247"/>
    </row>
    <row r="46" spans="1:27" ht="18">
      <c r="A46" s="164" t="s">
        <v>707</v>
      </c>
      <c r="B46" s="155">
        <f>B39*B41*2+(B38-B41-B41)*B40</f>
        <v>34020</v>
      </c>
      <c r="C46" s="93" t="s">
        <v>708</v>
      </c>
      <c r="D46" s="164" t="s">
        <v>707</v>
      </c>
      <c r="E46" s="155">
        <f>E39*E41*2+(E38-E41-E41)*E40</f>
        <v>15244</v>
      </c>
      <c r="F46" s="93" t="s">
        <v>708</v>
      </c>
      <c r="G46" s="164" t="s">
        <v>707</v>
      </c>
      <c r="H46" s="175">
        <f>H39*H41*2+(H38-H41-H41)*H40</f>
        <v>18822</v>
      </c>
      <c r="I46" s="93" t="s">
        <v>708</v>
      </c>
      <c r="N46" s="175" t="s">
        <v>834</v>
      </c>
      <c r="O46" s="175">
        <f>1.25*1.1*$H$28</f>
        <v>235.04249999999999</v>
      </c>
      <c r="P46" s="175">
        <f t="shared" ref="P46:P51" si="13">O46*150/2</f>
        <v>17628.1875</v>
      </c>
      <c r="Q46" s="114">
        <f t="shared" ref="Q46:Q51" si="14">G2</f>
        <v>0.79202058314011603</v>
      </c>
      <c r="R46" s="150">
        <f t="shared" ref="R46:R51" si="15">1.1*O46/SIN(Q46)</f>
        <v>363.24275717265357</v>
      </c>
      <c r="S46" s="175">
        <f>(H47/(4000/SIN(Q46)))/((H20/4250)+(H47/(4000/SIN(Q46))))*P46</f>
        <v>5133.5007371609636</v>
      </c>
      <c r="T46" s="170" t="s">
        <v>741</v>
      </c>
      <c r="U46" s="193">
        <f>H38</f>
        <v>478</v>
      </c>
      <c r="V46" s="116" t="s">
        <v>728</v>
      </c>
      <c r="W46" s="193">
        <f>H39</f>
        <v>208</v>
      </c>
      <c r="X46" s="116" t="s">
        <v>728</v>
      </c>
      <c r="Y46" s="193">
        <f>H40</f>
        <v>17</v>
      </c>
      <c r="Z46" s="116" t="s">
        <v>728</v>
      </c>
      <c r="AA46" s="194">
        <f>H41</f>
        <v>28</v>
      </c>
    </row>
    <row r="47" spans="1:27" ht="18">
      <c r="A47" s="164" t="s">
        <v>709</v>
      </c>
      <c r="B47" s="155">
        <f>(B40*(B38-B41-B41)^3)/12+2*(B39*B41*B41*B41/12+B39*B41*(B38*0.5-0.5*B41)^2)</f>
        <v>2871489880</v>
      </c>
      <c r="C47" s="93" t="s">
        <v>710</v>
      </c>
      <c r="D47" s="164" t="s">
        <v>709</v>
      </c>
      <c r="E47" s="155">
        <f>(E40*(E38-E41-E41)^3)/12+2*(E39*E41*E41*E41/12+E39*E41*(E38*0.5-0.5*E41)^2)</f>
        <v>541562725.33333337</v>
      </c>
      <c r="F47" s="93" t="s">
        <v>710</v>
      </c>
      <c r="G47" s="164" t="s">
        <v>709</v>
      </c>
      <c r="H47" s="175">
        <f>(H40*(H38-H41-H41)^3)/12+2*(H39*H41*H41*H41/12+H39*H41*(H38*0.5-0.5*H41)^2)</f>
        <v>696905554</v>
      </c>
      <c r="I47" s="93" t="s">
        <v>710</v>
      </c>
      <c r="N47" s="175" t="s">
        <v>843</v>
      </c>
      <c r="O47" s="175">
        <f>1.25*1.1*$H$28</f>
        <v>235.04249999999999</v>
      </c>
      <c r="P47" s="175">
        <f t="shared" si="13"/>
        <v>17628.1875</v>
      </c>
      <c r="Q47" s="114">
        <f t="shared" si="14"/>
        <v>0.79202058314011603</v>
      </c>
      <c r="R47" s="150">
        <f t="shared" si="15"/>
        <v>363.24275717265357</v>
      </c>
      <c r="S47" s="175">
        <f>(H47/(4000/SIN(Q47)))/((H20/4250)+(H47/(4000/SIN(Q47))))*P47</f>
        <v>5133.5007371609636</v>
      </c>
      <c r="T47" s="170" t="s">
        <v>741</v>
      </c>
      <c r="U47" s="193">
        <f>U46</f>
        <v>478</v>
      </c>
      <c r="V47" s="116" t="s">
        <v>728</v>
      </c>
      <c r="W47" s="193">
        <f>W46</f>
        <v>208</v>
      </c>
      <c r="X47" s="116" t="s">
        <v>728</v>
      </c>
      <c r="Y47" s="193">
        <f>Y46</f>
        <v>17</v>
      </c>
      <c r="Z47" s="116" t="s">
        <v>728</v>
      </c>
      <c r="AA47" s="194">
        <f>AA46</f>
        <v>28</v>
      </c>
    </row>
    <row r="48" spans="1:27" ht="18">
      <c r="A48" s="164" t="s">
        <v>711</v>
      </c>
      <c r="B48" s="155">
        <f>(B38-B41-B41)*B40*B40*B40/12+B41*B39*B39*B39*2/12</f>
        <v>161202797</v>
      </c>
      <c r="C48" s="93" t="s">
        <v>710</v>
      </c>
      <c r="D48" s="164" t="s">
        <v>711</v>
      </c>
      <c r="E48" s="155">
        <f>(E38-E41-E41)*E40*E40*E40/12+E41*E39*E39*E39*2/12</f>
        <v>81044810.333333328</v>
      </c>
      <c r="F48" s="93" t="s">
        <v>710</v>
      </c>
      <c r="G48" s="164" t="s">
        <v>711</v>
      </c>
      <c r="H48" s="175">
        <f>(H38-H41-H41)*H40*H40*H40/12+H41*H39*H39*H39*2/12</f>
        <v>42167696.5</v>
      </c>
      <c r="I48" s="93" t="s">
        <v>710</v>
      </c>
      <c r="N48" s="175" t="s">
        <v>586</v>
      </c>
      <c r="O48" s="150">
        <f>1.25*1.1*$E$28</f>
        <v>128.32049999999998</v>
      </c>
      <c r="P48" s="150">
        <f t="shared" si="13"/>
        <v>9624.0374999999985</v>
      </c>
      <c r="Q48" s="114">
        <f t="shared" si="14"/>
        <v>0.79202058314011603</v>
      </c>
      <c r="R48" s="150">
        <f t="shared" si="15"/>
        <v>198.31091067263785</v>
      </c>
      <c r="S48" s="150">
        <f>(E47/(4000/SIN(Q48)))/((E20/4250)+(E47/(4000/SIN(Q48))))*P48</f>
        <v>4144.1893061739293</v>
      </c>
      <c r="T48" s="170" t="s">
        <v>741</v>
      </c>
      <c r="U48" s="116">
        <f>E38</f>
        <v>440</v>
      </c>
      <c r="V48" s="116" t="s">
        <v>728</v>
      </c>
      <c r="W48" s="116">
        <f>E39</f>
        <v>300</v>
      </c>
      <c r="X48" s="116" t="s">
        <v>728</v>
      </c>
      <c r="Y48" s="116">
        <f>E40</f>
        <v>11</v>
      </c>
      <c r="Z48" s="116" t="s">
        <v>728</v>
      </c>
      <c r="AA48" s="89">
        <f>E41</f>
        <v>18</v>
      </c>
    </row>
    <row r="49" spans="1:27" ht="18">
      <c r="A49" s="164" t="s">
        <v>712</v>
      </c>
      <c r="B49" s="155">
        <f>(B38-B41-B41)*B40*B40*B40/3+B39*B41*B41*B41/3*2</f>
        <v>9391788</v>
      </c>
      <c r="C49" s="93" t="s">
        <v>710</v>
      </c>
      <c r="D49" s="164" t="s">
        <v>712</v>
      </c>
      <c r="E49" s="155">
        <f>(E38-E41-E41)*E40*E40*E40/3+E39*E41*E41*E41/3*2</f>
        <v>1345641.3333333333</v>
      </c>
      <c r="F49" s="93" t="s">
        <v>710</v>
      </c>
      <c r="G49" s="164" t="s">
        <v>712</v>
      </c>
      <c r="H49" s="175">
        <f>(H38-H41-H41)*H40*H40*H40/3+H39*H41*H41*H41/3*2</f>
        <v>3735106</v>
      </c>
      <c r="I49" s="93" t="s">
        <v>710</v>
      </c>
      <c r="N49" s="175" t="s">
        <v>842</v>
      </c>
      <c r="O49" s="150">
        <f>1.25*1.1*$E$28</f>
        <v>128.32049999999998</v>
      </c>
      <c r="P49" s="150">
        <f t="shared" si="13"/>
        <v>9624.0374999999985</v>
      </c>
      <c r="Q49" s="114">
        <f t="shared" si="14"/>
        <v>0.79202058314011603</v>
      </c>
      <c r="R49" s="150">
        <f t="shared" si="15"/>
        <v>198.31091067263785</v>
      </c>
      <c r="S49" s="150">
        <f>(E47/(4000/SIN(Q49)))/((E20/4250)+(E47/(4000/SIN(Q49))))*P49</f>
        <v>4144.1893061739293</v>
      </c>
      <c r="T49" s="170" t="s">
        <v>741</v>
      </c>
      <c r="U49" s="116">
        <f t="shared" ref="U49:AA49" si="16">U48</f>
        <v>440</v>
      </c>
      <c r="V49" s="116" t="str">
        <f t="shared" si="16"/>
        <v>x</v>
      </c>
      <c r="W49" s="116">
        <f t="shared" si="16"/>
        <v>300</v>
      </c>
      <c r="X49" s="116" t="str">
        <f t="shared" si="16"/>
        <v>x</v>
      </c>
      <c r="Y49" s="116">
        <f t="shared" si="16"/>
        <v>11</v>
      </c>
      <c r="Z49" s="116" t="str">
        <f t="shared" si="16"/>
        <v>x</v>
      </c>
      <c r="AA49" s="89">
        <f t="shared" si="16"/>
        <v>18</v>
      </c>
    </row>
    <row r="50" spans="1:27" ht="18">
      <c r="A50" s="164" t="s">
        <v>713</v>
      </c>
      <c r="B50" s="155">
        <f>B47/(B38/2)</f>
        <v>7998579.0529247914</v>
      </c>
      <c r="C50" s="93" t="s">
        <v>714</v>
      </c>
      <c r="D50" s="164" t="s">
        <v>713</v>
      </c>
      <c r="E50" s="155">
        <f>E47/(E38/2)</f>
        <v>2461648.7515151515</v>
      </c>
      <c r="F50" s="93" t="s">
        <v>714</v>
      </c>
      <c r="G50" s="164" t="s">
        <v>713</v>
      </c>
      <c r="H50" s="175">
        <f>H47/(H38/2)</f>
        <v>2915922.820083682</v>
      </c>
      <c r="I50" s="93" t="s">
        <v>714</v>
      </c>
      <c r="N50" s="175" t="s">
        <v>841</v>
      </c>
      <c r="O50" s="150">
        <f>1.25*1.1*$B$28</f>
        <v>326.28750000000002</v>
      </c>
      <c r="P50" s="150">
        <f t="shared" si="13"/>
        <v>24471.5625</v>
      </c>
      <c r="Q50" s="114">
        <f t="shared" si="14"/>
        <v>0.79202058314011603</v>
      </c>
      <c r="R50" s="150">
        <f t="shared" si="15"/>
        <v>504.25591597677953</v>
      </c>
      <c r="S50" s="150">
        <f>(B47/(4000/SIN(Q50)))/((B20/4250)+(B47/(4000/SIN(Q50))))*P50</f>
        <v>13670.070439325165</v>
      </c>
      <c r="T50" s="170" t="s">
        <v>741</v>
      </c>
      <c r="U50" s="116">
        <f>B38</f>
        <v>718</v>
      </c>
      <c r="V50" s="116" t="str">
        <f>V49</f>
        <v>x</v>
      </c>
      <c r="W50" s="116">
        <f>B39</f>
        <v>308</v>
      </c>
      <c r="X50" s="116" t="str">
        <f>X49</f>
        <v>x</v>
      </c>
      <c r="Y50" s="116">
        <f>B40</f>
        <v>21</v>
      </c>
      <c r="Z50" s="116" t="str">
        <f>Z49</f>
        <v>x</v>
      </c>
      <c r="AA50" s="89">
        <f>B41</f>
        <v>33</v>
      </c>
    </row>
    <row r="51" spans="1:27" ht="18">
      <c r="A51" s="164" t="s">
        <v>715</v>
      </c>
      <c r="B51" s="155">
        <f>B48/(B39/2)</f>
        <v>1046771.4090909091</v>
      </c>
      <c r="C51" s="93" t="s">
        <v>714</v>
      </c>
      <c r="D51" s="164" t="s">
        <v>715</v>
      </c>
      <c r="E51" s="155">
        <f>E48/(E39/2)</f>
        <v>540298.73555555556</v>
      </c>
      <c r="F51" s="93" t="s">
        <v>714</v>
      </c>
      <c r="G51" s="164" t="s">
        <v>715</v>
      </c>
      <c r="H51" s="175">
        <f>H48/(H39/2)</f>
        <v>405458.62019230769</v>
      </c>
      <c r="I51" s="93" t="s">
        <v>714</v>
      </c>
      <c r="N51" s="175" t="s">
        <v>840</v>
      </c>
      <c r="O51" s="150">
        <f>1.25*1.1*$B$28</f>
        <v>326.28750000000002</v>
      </c>
      <c r="P51" s="150">
        <f t="shared" si="13"/>
        <v>24471.5625</v>
      </c>
      <c r="Q51" s="114">
        <f t="shared" si="14"/>
        <v>0.79202058314011603</v>
      </c>
      <c r="R51" s="150">
        <f t="shared" si="15"/>
        <v>504.25591597677953</v>
      </c>
      <c r="S51" s="150">
        <f>(B47/(4000/SIN(Q51)))/((B20/4250)+(B47/(4000/SIN(Q51))))*P51</f>
        <v>13670.070439325165</v>
      </c>
      <c r="T51" s="170" t="s">
        <v>741</v>
      </c>
      <c r="U51" s="116">
        <f>U50</f>
        <v>718</v>
      </c>
      <c r="V51" s="116" t="str">
        <f>V50</f>
        <v>x</v>
      </c>
      <c r="W51" s="116">
        <f>W50</f>
        <v>308</v>
      </c>
      <c r="X51" s="116" t="str">
        <f>X50</f>
        <v>x</v>
      </c>
      <c r="Y51" s="116">
        <f>Y50</f>
        <v>21</v>
      </c>
      <c r="Z51" s="116" t="str">
        <f>Z50</f>
        <v>x</v>
      </c>
      <c r="AA51" s="89">
        <f>AA50</f>
        <v>33</v>
      </c>
    </row>
    <row r="52" spans="1:27" ht="18">
      <c r="A52" s="164" t="s">
        <v>716</v>
      </c>
      <c r="B52" s="155">
        <f>B39*B38*B38*0.25-(B39-B40)*((B38-2*B41)^2)*0.25</f>
        <v>9194136</v>
      </c>
      <c r="C52" s="93" t="s">
        <v>714</v>
      </c>
      <c r="D52" s="164" t="s">
        <v>716</v>
      </c>
      <c r="E52" s="155">
        <f>E39*E38*E38*0.25-(E39-E40)*(E38-2*E41)^2*0.25</f>
        <v>2727644</v>
      </c>
      <c r="F52" s="93" t="s">
        <v>714</v>
      </c>
      <c r="G52" s="164" t="s">
        <v>716</v>
      </c>
      <c r="H52" s="175">
        <f>H39*H38*H38*0.25-(H39-H40)*(H38-2*H41)^2*0.25</f>
        <v>3377657</v>
      </c>
      <c r="I52" s="93" t="s">
        <v>714</v>
      </c>
      <c r="T52" s="6"/>
    </row>
    <row r="53" spans="1:27" ht="18.75" thickBot="1">
      <c r="A53" s="166" t="s">
        <v>717</v>
      </c>
      <c r="B53" s="146">
        <f>B41*B39*B39*0.25*2+(B38-2*B41)*B40*B40*0.25</f>
        <v>1637139</v>
      </c>
      <c r="C53" s="167" t="s">
        <v>714</v>
      </c>
      <c r="D53" s="166" t="s">
        <v>717</v>
      </c>
      <c r="E53" s="146">
        <f>E41*E39*E39*0.25*2+(E38-2*E41)*E40*E40*0.25</f>
        <v>822221</v>
      </c>
      <c r="F53" s="167" t="s">
        <v>714</v>
      </c>
      <c r="G53" s="166" t="s">
        <v>717</v>
      </c>
      <c r="H53" s="146">
        <f>H41*H39*H39*0.25*2+(H38-2*H41)*H40*H40*0.25</f>
        <v>636185.5</v>
      </c>
      <c r="I53" s="167" t="s">
        <v>714</v>
      </c>
      <c r="T53" s="6"/>
    </row>
    <row r="54" spans="1:27">
      <c r="A54" s="168" t="s">
        <v>719</v>
      </c>
      <c r="B54" s="169">
        <f>B52*B42/1000</f>
        <v>32179.475999999999</v>
      </c>
      <c r="C54" s="99" t="s">
        <v>721</v>
      </c>
      <c r="D54" s="168" t="s">
        <v>719</v>
      </c>
      <c r="E54" s="169">
        <f>E52*E42/1000</f>
        <v>9546.7540000000008</v>
      </c>
      <c r="F54" s="99" t="s">
        <v>721</v>
      </c>
      <c r="G54" s="168" t="s">
        <v>719</v>
      </c>
      <c r="H54" s="169">
        <f>H52*H42/1000</f>
        <v>11821.799499999999</v>
      </c>
      <c r="I54" s="99" t="s">
        <v>721</v>
      </c>
      <c r="S54" s="179"/>
      <c r="T54" s="147"/>
      <c r="U54" s="147"/>
      <c r="V54" s="147"/>
      <c r="W54" s="147"/>
      <c r="X54" s="147"/>
      <c r="Y54" s="147"/>
      <c r="Z54" s="147"/>
    </row>
    <row r="55" spans="1:27" ht="16.5" thickBot="1">
      <c r="A55" s="166" t="s">
        <v>720</v>
      </c>
      <c r="B55" s="146">
        <f>0.6*(B38-B41-B41)*B40*B42/10/10</f>
        <v>287.53199999999998</v>
      </c>
      <c r="C55" s="167" t="s">
        <v>722</v>
      </c>
      <c r="D55" s="166" t="s">
        <v>720</v>
      </c>
      <c r="E55" s="146">
        <f>0.6*(E38-E41-E41)*E40*E42/10/10</f>
        <v>93.323999999999984</v>
      </c>
      <c r="F55" s="167" t="s">
        <v>722</v>
      </c>
      <c r="G55" s="166" t="s">
        <v>720</v>
      </c>
      <c r="H55" s="146">
        <f>0.6*(H38-H41-H41)*H40*H42/10/10</f>
        <v>150.65399999999997</v>
      </c>
      <c r="I55" s="167" t="s">
        <v>722</v>
      </c>
      <c r="T55" s="62"/>
      <c r="U55" s="62"/>
      <c r="V55" s="62"/>
      <c r="W55" s="62"/>
      <c r="X55" s="62"/>
      <c r="Y55" s="62"/>
      <c r="Z55" s="62"/>
    </row>
    <row r="56" spans="1:27">
      <c r="A56" s="168" t="s">
        <v>748</v>
      </c>
      <c r="B56" s="169">
        <f>B39*0.5/B41</f>
        <v>4.666666666666667</v>
      </c>
      <c r="C56" s="169"/>
      <c r="D56" s="169" t="s">
        <v>748</v>
      </c>
      <c r="E56" s="169">
        <f>E39*0.5/E41</f>
        <v>8.3333333333333339</v>
      </c>
      <c r="F56" s="99"/>
      <c r="G56" s="169" t="s">
        <v>748</v>
      </c>
      <c r="H56" s="169">
        <f>H39*0.5/H41</f>
        <v>3.7142857142857144</v>
      </c>
      <c r="I56" s="99"/>
      <c r="T56" s="62"/>
      <c r="U56" s="62"/>
      <c r="V56" s="62"/>
      <c r="W56" s="62"/>
      <c r="X56" s="62"/>
      <c r="Y56" s="62"/>
      <c r="Z56" s="62"/>
    </row>
    <row r="57" spans="1:27">
      <c r="A57" s="164" t="s">
        <v>749</v>
      </c>
      <c r="B57" s="175">
        <f>25/SQRT(B42)</f>
        <v>13.363062095621219</v>
      </c>
      <c r="C57" s="175"/>
      <c r="D57" s="175" t="s">
        <v>749</v>
      </c>
      <c r="E57" s="175">
        <f>25/SQRT(E42)</f>
        <v>13.363062095621219</v>
      </c>
      <c r="F57" s="93"/>
      <c r="G57" s="175" t="s">
        <v>749</v>
      </c>
      <c r="H57" s="175">
        <f>25/SQRT(H42)</f>
        <v>13.363062095621219</v>
      </c>
      <c r="I57" s="93"/>
      <c r="N57" s="173" t="s">
        <v>757</v>
      </c>
      <c r="T57" s="62"/>
      <c r="U57" s="62"/>
      <c r="V57" s="62"/>
      <c r="W57" s="62"/>
      <c r="X57" s="62"/>
      <c r="Y57" s="62"/>
      <c r="Z57" s="62"/>
    </row>
    <row r="58" spans="1:27" ht="18.75">
      <c r="A58" s="164" t="s">
        <v>750</v>
      </c>
      <c r="B58" s="175">
        <f>16/SQRT(B42)</f>
        <v>8.5523597411975807</v>
      </c>
      <c r="C58" s="175"/>
      <c r="D58" s="175" t="s">
        <v>750</v>
      </c>
      <c r="E58" s="175">
        <f>16/SQRT(E42)</f>
        <v>8.5523597411975807</v>
      </c>
      <c r="F58" s="93"/>
      <c r="G58" s="175" t="s">
        <v>750</v>
      </c>
      <c r="H58" s="175">
        <f>16/SQRT(H42)</f>
        <v>8.5523597411975807</v>
      </c>
      <c r="I58" s="93"/>
      <c r="N58" s="175" t="s">
        <v>731</v>
      </c>
      <c r="O58" s="175" t="s">
        <v>747</v>
      </c>
      <c r="P58" s="175" t="s">
        <v>745</v>
      </c>
      <c r="Q58" s="175" t="s">
        <v>746</v>
      </c>
      <c r="R58" s="175" t="s">
        <v>744</v>
      </c>
      <c r="T58" s="62"/>
      <c r="U58" s="62"/>
      <c r="V58" s="62"/>
      <c r="W58" s="62"/>
      <c r="X58" s="62"/>
      <c r="Y58" s="62"/>
      <c r="Z58" s="62"/>
    </row>
    <row r="59" spans="1:27">
      <c r="A59" s="164" t="s">
        <v>751</v>
      </c>
      <c r="B59" s="175">
        <f>(B38-B41-B41)/B40</f>
        <v>31.047619047619047</v>
      </c>
      <c r="C59" s="175"/>
      <c r="D59" s="175" t="s">
        <v>751</v>
      </c>
      <c r="E59" s="175">
        <f>(E38-E41-E41)/E40</f>
        <v>36.727272727272727</v>
      </c>
      <c r="F59" s="93"/>
      <c r="G59" s="175" t="s">
        <v>751</v>
      </c>
      <c r="H59" s="175">
        <f>(H38-H41-H41)/H40</f>
        <v>24.823529411764707</v>
      </c>
      <c r="I59" s="93"/>
      <c r="M59" s="177" t="str">
        <f t="shared" ref="M59:M64" si="17">IF(R59&lt;1,"OK","NG")</f>
        <v>NG</v>
      </c>
      <c r="N59" s="175" t="s">
        <v>834</v>
      </c>
      <c r="O59" s="175">
        <f>0.5*400/SIN($Q$46)/SQRT((H48/10000)/(H46/100))*SQRT(3.52/2039/PI()/PI())</f>
        <v>0.78513378929803868</v>
      </c>
      <c r="P59" s="175">
        <f>IF(O59&lt;=1.5,(0.658^(O59*O59))*3.52*H46/100,0.877/O59/O59*3.52*H46/100)</f>
        <v>511.86625458376204</v>
      </c>
      <c r="Q59" s="175">
        <f>IF(AND(H56&lt;H58,H59&lt;H61),H54,0)</f>
        <v>11821.799499999999</v>
      </c>
      <c r="R59" s="150">
        <f t="shared" ref="R59:R64" si="18">IF(R46/(0.85*P59)&gt;=0.2,R46/(0.85*P59)+8*S46/(9*0.9*Q59),R46/(0.85*P59)+S46/(0.9*Q59))</f>
        <v>1.2637543811338439</v>
      </c>
      <c r="S59" s="171" t="str">
        <f t="shared" ref="S59:S64" si="19">M59</f>
        <v>NG</v>
      </c>
    </row>
    <row r="60" spans="1:27">
      <c r="A60" s="164" t="s">
        <v>752</v>
      </c>
      <c r="B60" s="175">
        <f>260/SQRT(B42)</f>
        <v>138.9758457944607</v>
      </c>
      <c r="C60" s="175"/>
      <c r="D60" s="175" t="s">
        <v>752</v>
      </c>
      <c r="E60" s="175">
        <f>260/SQRT(E42)</f>
        <v>138.9758457944607</v>
      </c>
      <c r="F60" s="93"/>
      <c r="G60" s="175" t="s">
        <v>752</v>
      </c>
      <c r="H60" s="175">
        <f>260/SQRT(H42)</f>
        <v>138.9758457944607</v>
      </c>
      <c r="I60" s="93"/>
      <c r="M60" s="177" t="str">
        <f t="shared" si="17"/>
        <v>NG</v>
      </c>
      <c r="N60" s="175" t="s">
        <v>843</v>
      </c>
      <c r="O60" s="175">
        <f>0.5*400/SIN($Q$47)/SQRT((H48/10000)/(H46/100))*SQRT(3.52/2039/PI()/PI())</f>
        <v>0.78513378929803868</v>
      </c>
      <c r="P60" s="175">
        <f>IF(O60&lt;=1.5,(0.658^(O60*O60))*3.52*H46/100,0.877/O60/O60*3.52*H46/100)</f>
        <v>511.86625458376204</v>
      </c>
      <c r="Q60" s="175">
        <f>IF(AND(H56&lt;H58,H59&lt;H61),H54,0)</f>
        <v>11821.799499999999</v>
      </c>
      <c r="R60" s="150">
        <f t="shared" si="18"/>
        <v>1.2637543811338439</v>
      </c>
      <c r="S60" s="171" t="str">
        <f t="shared" si="19"/>
        <v>NG</v>
      </c>
    </row>
    <row r="61" spans="1:27" ht="16.5" thickBot="1">
      <c r="A61" s="165" t="s">
        <v>753</v>
      </c>
      <c r="B61" s="94">
        <f>170/SQRT(B42)</f>
        <v>90.868822250224298</v>
      </c>
      <c r="C61" s="94"/>
      <c r="D61" s="94" t="s">
        <v>753</v>
      </c>
      <c r="E61" s="94">
        <f>170/SQRT(E42)</f>
        <v>90.868822250224298</v>
      </c>
      <c r="F61" s="95"/>
      <c r="G61" s="94" t="s">
        <v>753</v>
      </c>
      <c r="H61" s="94">
        <f>170/SQRT(H42)</f>
        <v>90.868822250224298</v>
      </c>
      <c r="I61" s="95"/>
      <c r="M61" s="177" t="str">
        <f t="shared" si="17"/>
        <v>OK</v>
      </c>
      <c r="N61" s="175" t="s">
        <v>586</v>
      </c>
      <c r="O61" s="150">
        <f>0.5*400/SIN($Q$48)/SQRT((E48/10000)/(E46/100))*SQRT(3.52/2039/PI()/PI())</f>
        <v>0.5096682587292054</v>
      </c>
      <c r="P61" s="150">
        <f>IF(O61&lt;=1.5,(0.658^(O61*O61))*3.52*E46/100,0.877/O61/O61*3.52*E46/100)</f>
        <v>481.30862750080155</v>
      </c>
      <c r="Q61" s="150">
        <f>IF(AND(E56&lt;E58,E59&lt;E61),E54,0)</f>
        <v>9546.7540000000008</v>
      </c>
      <c r="R61" s="150">
        <f t="shared" si="18"/>
        <v>0.91346950276218952</v>
      </c>
      <c r="S61" s="171" t="str">
        <f t="shared" si="19"/>
        <v>OK</v>
      </c>
    </row>
    <row r="62" spans="1:27">
      <c r="M62" s="177" t="str">
        <f t="shared" si="17"/>
        <v>OK</v>
      </c>
      <c r="N62" s="175" t="s">
        <v>842</v>
      </c>
      <c r="O62" s="150">
        <f>0.5*400/SIN($Q$49)/SQRT((E48/10000)/(E46/100))*SQRT(3.52/2039/PI()/PI())</f>
        <v>0.5096682587292054</v>
      </c>
      <c r="P62" s="150">
        <f>IF(O62&lt;=1.5,(0.658^(O62*O62))*3.52*E46/100,0.877/O62/O62*3.52*E46/100)</f>
        <v>481.30862750080155</v>
      </c>
      <c r="Q62" s="150">
        <f>IF(AND(E56&lt;E58,E59&lt;E61),E54,0)</f>
        <v>9546.7540000000008</v>
      </c>
      <c r="R62" s="150">
        <f t="shared" si="18"/>
        <v>0.91346950276218952</v>
      </c>
      <c r="S62" s="171" t="str">
        <f t="shared" si="19"/>
        <v>OK</v>
      </c>
    </row>
    <row r="63" spans="1:27">
      <c r="M63" s="177" t="str">
        <f t="shared" si="17"/>
        <v>OK</v>
      </c>
      <c r="N63" s="175" t="s">
        <v>841</v>
      </c>
      <c r="O63" s="150">
        <f>0.5*400/SIN($Q$50)/SQRT((B48/10000)/(B46/100))*SQRT(3.52/2039/PI()/PI())</f>
        <v>0.53986054720832877</v>
      </c>
      <c r="P63" s="150">
        <f>IF(O63&lt;=1.5,(0.658^(O63*O63))*3.52*B46/100,0.877/O63/O63*3.52*B46/100)</f>
        <v>1059.9832843610295</v>
      </c>
      <c r="Q63" s="150">
        <f>IF(AND(B56&lt;B58,B59&lt;B61),B54,0)</f>
        <v>32179.475999999999</v>
      </c>
      <c r="R63" s="150">
        <f t="shared" si="18"/>
        <v>0.97923391467577292</v>
      </c>
      <c r="S63" s="171" t="str">
        <f t="shared" si="19"/>
        <v>OK</v>
      </c>
    </row>
    <row r="64" spans="1:27" ht="16.5" thickBot="1">
      <c r="M64" s="177" t="str">
        <f t="shared" si="17"/>
        <v>OK</v>
      </c>
      <c r="N64" s="175" t="s">
        <v>840</v>
      </c>
      <c r="O64" s="150">
        <f>0.5*400/SIN($Q$51)/SQRT((B48/10000)/(B46/100))*SQRT(3.52/2039/PI()/PI())</f>
        <v>0.53986054720832877</v>
      </c>
      <c r="P64" s="150">
        <f>IF(O64&lt;=1.5,(0.658^(O64*O64))*3.52*B46/100,0.877/O64/O64*3.52*B46/100)</f>
        <v>1059.9832843610295</v>
      </c>
      <c r="Q64" s="150">
        <f>IF(AND(B56&lt;B58,B59&lt;B61),B54,0)</f>
        <v>32179.475999999999</v>
      </c>
      <c r="R64" s="150">
        <f t="shared" si="18"/>
        <v>0.97923391467577292</v>
      </c>
      <c r="S64" s="171" t="str">
        <f t="shared" si="19"/>
        <v>OK</v>
      </c>
    </row>
    <row r="65" spans="1:29" ht="52.5" customHeight="1">
      <c r="A65" s="248" t="s">
        <v>844</v>
      </c>
      <c r="B65" s="249"/>
      <c r="C65" s="250"/>
      <c r="D65" s="248" t="s">
        <v>837</v>
      </c>
      <c r="E65" s="249"/>
      <c r="F65" s="250"/>
      <c r="G65" s="248" t="s">
        <v>836</v>
      </c>
      <c r="H65" s="249"/>
      <c r="I65" s="250"/>
      <c r="AC65" s="114" t="s">
        <v>740</v>
      </c>
    </row>
    <row r="66" spans="1:29">
      <c r="A66" s="157" t="s">
        <v>698</v>
      </c>
      <c r="B66" s="158">
        <v>718</v>
      </c>
      <c r="C66" s="159" t="s">
        <v>699</v>
      </c>
      <c r="D66" s="157" t="s">
        <v>698</v>
      </c>
      <c r="E66" s="158">
        <v>440</v>
      </c>
      <c r="F66" s="159" t="s">
        <v>699</v>
      </c>
      <c r="G66" s="157" t="s">
        <v>698</v>
      </c>
      <c r="H66" s="158">
        <v>434</v>
      </c>
      <c r="I66" s="159" t="s">
        <v>699</v>
      </c>
      <c r="J66" s="177"/>
      <c r="K66" s="177"/>
      <c r="L66" s="177"/>
      <c r="M66" s="177"/>
      <c r="AC66" s="150">
        <f t="shared" ref="AC66:AC71" si="20">Q46</f>
        <v>0.79202058314011603</v>
      </c>
    </row>
    <row r="67" spans="1:29">
      <c r="A67" s="157" t="s">
        <v>700</v>
      </c>
      <c r="B67" s="158">
        <v>308</v>
      </c>
      <c r="C67" s="159" t="s">
        <v>699</v>
      </c>
      <c r="D67" s="157" t="s">
        <v>700</v>
      </c>
      <c r="E67" s="158">
        <v>300</v>
      </c>
      <c r="F67" s="159" t="s">
        <v>699</v>
      </c>
      <c r="G67" s="157" t="s">
        <v>700</v>
      </c>
      <c r="H67" s="158">
        <v>299</v>
      </c>
      <c r="I67" s="159" t="s">
        <v>699</v>
      </c>
      <c r="J67" s="177"/>
      <c r="K67" s="177"/>
      <c r="L67" s="177"/>
      <c r="M67" s="177"/>
      <c r="AC67" s="150">
        <f t="shared" si="20"/>
        <v>0.79202058314011603</v>
      </c>
    </row>
    <row r="68" spans="1:29">
      <c r="A68" s="157" t="s">
        <v>701</v>
      </c>
      <c r="B68" s="158">
        <v>21</v>
      </c>
      <c r="C68" s="159" t="s">
        <v>699</v>
      </c>
      <c r="D68" s="157" t="s">
        <v>701</v>
      </c>
      <c r="E68" s="158">
        <v>11</v>
      </c>
      <c r="F68" s="159" t="s">
        <v>699</v>
      </c>
      <c r="G68" s="157" t="s">
        <v>701</v>
      </c>
      <c r="H68" s="158">
        <v>10</v>
      </c>
      <c r="I68" s="159" t="s">
        <v>699</v>
      </c>
      <c r="J68" s="177"/>
      <c r="K68" s="177"/>
      <c r="L68" s="177"/>
      <c r="M68" s="177"/>
      <c r="S68" s="174"/>
      <c r="T68" s="174"/>
      <c r="U68" s="174"/>
      <c r="V68" s="174"/>
      <c r="W68" s="174"/>
      <c r="X68" s="174"/>
      <c r="Y68" s="174"/>
      <c r="Z68" s="174"/>
      <c r="AA68" s="174"/>
      <c r="AC68" s="150">
        <f t="shared" si="20"/>
        <v>0.79202058314011603</v>
      </c>
    </row>
    <row r="69" spans="1:29">
      <c r="A69" s="157" t="s">
        <v>702</v>
      </c>
      <c r="B69" s="158">
        <v>33</v>
      </c>
      <c r="C69" s="159" t="s">
        <v>699</v>
      </c>
      <c r="D69" s="157" t="s">
        <v>702</v>
      </c>
      <c r="E69" s="158">
        <v>18</v>
      </c>
      <c r="F69" s="159" t="s">
        <v>699</v>
      </c>
      <c r="G69" s="157" t="s">
        <v>702</v>
      </c>
      <c r="H69" s="158">
        <v>15</v>
      </c>
      <c r="I69" s="159" t="s">
        <v>699</v>
      </c>
      <c r="J69" s="177"/>
      <c r="K69" s="177"/>
      <c r="L69" s="177"/>
      <c r="M69" s="177"/>
      <c r="AC69" s="150">
        <f t="shared" si="20"/>
        <v>0.79202058314011603</v>
      </c>
    </row>
    <row r="70" spans="1:29">
      <c r="A70" s="157" t="s">
        <v>703</v>
      </c>
      <c r="B70" s="62">
        <v>3.5</v>
      </c>
      <c r="C70" s="159" t="s">
        <v>718</v>
      </c>
      <c r="D70" s="157" t="s">
        <v>703</v>
      </c>
      <c r="E70" s="62">
        <v>3.5</v>
      </c>
      <c r="F70" s="159" t="s">
        <v>718</v>
      </c>
      <c r="G70" s="157" t="s">
        <v>703</v>
      </c>
      <c r="H70" s="62">
        <v>3.5</v>
      </c>
      <c r="I70" s="159" t="s">
        <v>718</v>
      </c>
      <c r="AC70" s="150">
        <f t="shared" si="20"/>
        <v>0.79202058314011603</v>
      </c>
    </row>
    <row r="71" spans="1:29" ht="16.5">
      <c r="A71" s="160"/>
      <c r="B71" s="161"/>
      <c r="C71" s="162"/>
      <c r="D71" s="157"/>
      <c r="E71" s="62"/>
      <c r="F71" s="159"/>
      <c r="G71" s="157"/>
      <c r="H71" s="62"/>
      <c r="I71" s="159"/>
      <c r="AC71" s="150">
        <f t="shared" si="20"/>
        <v>0.79202058314011603</v>
      </c>
    </row>
    <row r="72" spans="1:29" ht="16.5">
      <c r="A72" s="163" t="s">
        <v>704</v>
      </c>
      <c r="B72" s="161"/>
      <c r="C72" s="162"/>
      <c r="D72" s="163" t="s">
        <v>704</v>
      </c>
      <c r="E72" s="161"/>
      <c r="F72" s="162"/>
      <c r="G72" s="163" t="s">
        <v>704</v>
      </c>
      <c r="H72" s="161"/>
      <c r="I72" s="162"/>
    </row>
    <row r="73" spans="1:29">
      <c r="A73" s="164" t="s">
        <v>705</v>
      </c>
      <c r="B73" s="175" t="s">
        <v>706</v>
      </c>
      <c r="C73" s="93"/>
      <c r="D73" s="164" t="s">
        <v>705</v>
      </c>
      <c r="E73" s="175" t="s">
        <v>706</v>
      </c>
      <c r="F73" s="93"/>
      <c r="G73" s="164" t="s">
        <v>705</v>
      </c>
      <c r="H73" s="175" t="s">
        <v>706</v>
      </c>
      <c r="I73" s="93"/>
    </row>
    <row r="74" spans="1:29" ht="18">
      <c r="A74" s="164" t="s">
        <v>707</v>
      </c>
      <c r="B74" s="175">
        <f>B67*B69*2+(B66-B69-B69)*B68</f>
        <v>34020</v>
      </c>
      <c r="C74" s="93" t="s">
        <v>708</v>
      </c>
      <c r="D74" s="164" t="s">
        <v>707</v>
      </c>
      <c r="E74" s="175">
        <f>E67*E69*2+(E66-E69-E69)*E68</f>
        <v>15244</v>
      </c>
      <c r="F74" s="93" t="s">
        <v>708</v>
      </c>
      <c r="G74" s="164" t="s">
        <v>707</v>
      </c>
      <c r="H74" s="175">
        <f>H67*H69*2+(H66-H69-H69)*H68</f>
        <v>13010</v>
      </c>
      <c r="I74" s="93" t="s">
        <v>708</v>
      </c>
      <c r="N74" s="173" t="s">
        <v>758</v>
      </c>
      <c r="O74" s="174"/>
      <c r="P74" s="174"/>
      <c r="Q74" s="174"/>
      <c r="R74" s="174"/>
    </row>
    <row r="75" spans="1:29" ht="18.75">
      <c r="A75" s="164" t="s">
        <v>709</v>
      </c>
      <c r="B75" s="175">
        <f>(B68*(B66-B69-B69)^3)/12+2*(B67*B69*B69*B69/12+B67*B69*(B66*0.5-0.5*B69)^2)</f>
        <v>2871489880</v>
      </c>
      <c r="C75" s="93" t="s">
        <v>710</v>
      </c>
      <c r="D75" s="164" t="s">
        <v>709</v>
      </c>
      <c r="E75" s="175">
        <f>(E68*(E66-E69-E69)^3)/12+2*(E67*E69*E69*E69/12+E67*E69*(E66*0.5-0.5*E69)^2)</f>
        <v>541562725.33333337</v>
      </c>
      <c r="F75" s="93" t="s">
        <v>710</v>
      </c>
      <c r="G75" s="164" t="s">
        <v>709</v>
      </c>
      <c r="H75" s="175">
        <f>(H68*(H66-H69-H69)^3)/12+2*(H67*H69*H69*H69/12+H67*H69*(H66*0.5-0.5*H69)^2)</f>
        <v>448813116.66666669</v>
      </c>
      <c r="I75" s="93" t="s">
        <v>710</v>
      </c>
      <c r="N75" s="175" t="s">
        <v>731</v>
      </c>
      <c r="O75" s="175" t="s">
        <v>738</v>
      </c>
      <c r="P75" s="175" t="s">
        <v>742</v>
      </c>
      <c r="Q75" s="175" t="s">
        <v>759</v>
      </c>
      <c r="R75" s="175" t="s">
        <v>745</v>
      </c>
      <c r="S75" s="175" t="s">
        <v>744</v>
      </c>
      <c r="T75" s="245" t="s">
        <v>727</v>
      </c>
      <c r="U75" s="246"/>
      <c r="V75" s="246"/>
      <c r="W75" s="246"/>
      <c r="X75" s="246"/>
      <c r="Y75" s="246"/>
      <c r="Z75" s="246"/>
      <c r="AA75" s="247"/>
    </row>
    <row r="76" spans="1:29" ht="18">
      <c r="A76" s="164" t="s">
        <v>711</v>
      </c>
      <c r="B76" s="175">
        <f>(B66-B69-B69)*B68*B68*B68/12+B69*B67*B67*B67*2/12</f>
        <v>161202797</v>
      </c>
      <c r="C76" s="93" t="s">
        <v>710</v>
      </c>
      <c r="D76" s="164" t="s">
        <v>711</v>
      </c>
      <c r="E76" s="175">
        <f>(E66-E69-E69)*E68*E68*E68/12+E69*E67*E67*E67*2/12</f>
        <v>81044810.333333328</v>
      </c>
      <c r="F76" s="93" t="s">
        <v>710</v>
      </c>
      <c r="G76" s="164" t="s">
        <v>711</v>
      </c>
      <c r="H76" s="175">
        <f>(H66-H69-H69)*H68*H68*H68/12+H69*H67*H67*H67*2/12</f>
        <v>66860914.166666664</v>
      </c>
      <c r="I76" s="93" t="s">
        <v>710</v>
      </c>
      <c r="M76" s="177" t="str">
        <f t="shared" ref="M76:M81" si="21">IF(S76&lt;1,"OK","NG")</f>
        <v>OK</v>
      </c>
      <c r="N76" s="175" t="s">
        <v>834</v>
      </c>
      <c r="O76" s="150">
        <f t="shared" ref="O76:O81" si="22">O46</f>
        <v>235.04249999999999</v>
      </c>
      <c r="P76" s="150">
        <f t="shared" ref="P76:P81" si="23">R46</f>
        <v>363.24275717265357</v>
      </c>
      <c r="Q76" s="175">
        <f>(O76)-P76*SIN(AC66)</f>
        <v>-23.504250000000042</v>
      </c>
      <c r="R76" s="150">
        <f t="shared" ref="R76:R81" si="24">P91</f>
        <v>450.34265092022594</v>
      </c>
      <c r="S76" s="150">
        <f t="shared" ref="S76:S81" si="25">Q76/0.85/R76</f>
        <v>-6.1402265068666056E-2</v>
      </c>
      <c r="T76" s="170" t="s">
        <v>741</v>
      </c>
      <c r="U76" s="193">
        <f>H66</f>
        <v>434</v>
      </c>
      <c r="V76" s="116" t="s">
        <v>728</v>
      </c>
      <c r="W76" s="193">
        <f>H67</f>
        <v>299</v>
      </c>
      <c r="X76" s="116" t="s">
        <v>728</v>
      </c>
      <c r="Y76" s="193">
        <f>H68</f>
        <v>10</v>
      </c>
      <c r="Z76" s="116" t="s">
        <v>728</v>
      </c>
      <c r="AA76" s="194">
        <f>H69</f>
        <v>15</v>
      </c>
      <c r="AB76" s="177" t="str">
        <f t="shared" ref="AB76:AB81" si="26">M76</f>
        <v>OK</v>
      </c>
    </row>
    <row r="77" spans="1:29" ht="18">
      <c r="A77" s="164" t="s">
        <v>712</v>
      </c>
      <c r="B77" s="175">
        <f>(B66-B69-B69)*B68*B68*B68/3+B67*B69*B69*B69/3*2</f>
        <v>9391788</v>
      </c>
      <c r="C77" s="93" t="s">
        <v>710</v>
      </c>
      <c r="D77" s="164" t="s">
        <v>712</v>
      </c>
      <c r="E77" s="175">
        <f>(E66-E69-E69)*E68*E68*E68/3+E67*E69*E69*E69/3*2</f>
        <v>1345641.3333333333</v>
      </c>
      <c r="F77" s="93" t="s">
        <v>710</v>
      </c>
      <c r="G77" s="164" t="s">
        <v>712</v>
      </c>
      <c r="H77" s="175">
        <f>(H66-H69-H69)*H68*H68*H68/3+H67*H69*H69*H69/3*2</f>
        <v>807416.66666666663</v>
      </c>
      <c r="I77" s="93" t="s">
        <v>710</v>
      </c>
      <c r="M77" s="177" t="str">
        <f t="shared" si="21"/>
        <v>OK</v>
      </c>
      <c r="N77" s="175" t="s">
        <v>843</v>
      </c>
      <c r="O77" s="150">
        <f t="shared" si="22"/>
        <v>235.04249999999999</v>
      </c>
      <c r="P77" s="150">
        <f t="shared" si="23"/>
        <v>363.24275717265357</v>
      </c>
      <c r="Q77" s="175">
        <f>(O77+O76)-P77*SIN(AC67)</f>
        <v>211.53824999999995</v>
      </c>
      <c r="R77" s="150">
        <f t="shared" si="24"/>
        <v>450.34265092022594</v>
      </c>
      <c r="S77" s="150">
        <f t="shared" si="25"/>
        <v>0.55262038561799343</v>
      </c>
      <c r="T77" s="170" t="s">
        <v>741</v>
      </c>
      <c r="U77" s="193">
        <f>U76</f>
        <v>434</v>
      </c>
      <c r="V77" s="116" t="s">
        <v>728</v>
      </c>
      <c r="W77" s="193">
        <f>W76</f>
        <v>299</v>
      </c>
      <c r="X77" s="116" t="s">
        <v>728</v>
      </c>
      <c r="Y77" s="193">
        <f>Y76</f>
        <v>10</v>
      </c>
      <c r="Z77" s="116" t="s">
        <v>728</v>
      </c>
      <c r="AA77" s="194">
        <f>AA76</f>
        <v>15</v>
      </c>
      <c r="AB77" s="177" t="str">
        <f t="shared" si="26"/>
        <v>OK</v>
      </c>
    </row>
    <row r="78" spans="1:29" ht="18">
      <c r="A78" s="164" t="s">
        <v>713</v>
      </c>
      <c r="B78" s="175">
        <f>B75/(B66/2)</f>
        <v>7998579.0529247914</v>
      </c>
      <c r="C78" s="93" t="s">
        <v>714</v>
      </c>
      <c r="D78" s="164" t="s">
        <v>713</v>
      </c>
      <c r="E78" s="175">
        <f>E75/(E66/2)</f>
        <v>2461648.7515151515</v>
      </c>
      <c r="F78" s="93" t="s">
        <v>714</v>
      </c>
      <c r="G78" s="164" t="s">
        <v>713</v>
      </c>
      <c r="H78" s="175">
        <f>H75/(H66/2)</f>
        <v>2068263.2104454685</v>
      </c>
      <c r="I78" s="93" t="s">
        <v>714</v>
      </c>
      <c r="M78" s="177" t="str">
        <f t="shared" si="21"/>
        <v>NG</v>
      </c>
      <c r="N78" s="175" t="s">
        <v>586</v>
      </c>
      <c r="O78" s="150">
        <f t="shared" si="22"/>
        <v>128.32049999999998</v>
      </c>
      <c r="P78" s="150">
        <f t="shared" si="23"/>
        <v>198.31091067263785</v>
      </c>
      <c r="Q78" s="175">
        <f>(O78+O77+O76)-P78*SIN(AC68)</f>
        <v>457.25294999999994</v>
      </c>
      <c r="R78" s="150">
        <f t="shared" si="24"/>
        <v>527.92890473997329</v>
      </c>
      <c r="S78" s="150">
        <f t="shared" si="25"/>
        <v>1.0189717634873265</v>
      </c>
      <c r="T78" s="170" t="s">
        <v>741</v>
      </c>
      <c r="U78" s="116">
        <f>E66</f>
        <v>440</v>
      </c>
      <c r="V78" s="116" t="s">
        <v>728</v>
      </c>
      <c r="W78" s="116">
        <f>E67</f>
        <v>300</v>
      </c>
      <c r="X78" s="116" t="s">
        <v>728</v>
      </c>
      <c r="Y78" s="116">
        <f>E68</f>
        <v>11</v>
      </c>
      <c r="Z78" s="116" t="s">
        <v>728</v>
      </c>
      <c r="AA78" s="89">
        <f>E69</f>
        <v>18</v>
      </c>
      <c r="AB78" s="177" t="str">
        <f t="shared" si="26"/>
        <v>NG</v>
      </c>
    </row>
    <row r="79" spans="1:29" ht="18">
      <c r="A79" s="164" t="s">
        <v>715</v>
      </c>
      <c r="B79" s="175">
        <f>B76/(B67/2)</f>
        <v>1046771.4090909091</v>
      </c>
      <c r="C79" s="93" t="s">
        <v>714</v>
      </c>
      <c r="D79" s="164" t="s">
        <v>715</v>
      </c>
      <c r="E79" s="175">
        <f>E76/(E67/2)</f>
        <v>540298.73555555556</v>
      </c>
      <c r="F79" s="93" t="s">
        <v>714</v>
      </c>
      <c r="G79" s="164" t="s">
        <v>715</v>
      </c>
      <c r="H79" s="175">
        <f>H76/(H67/2)</f>
        <v>447230.19509476027</v>
      </c>
      <c r="I79" s="93" t="s">
        <v>714</v>
      </c>
      <c r="M79" s="177" t="str">
        <f t="shared" si="21"/>
        <v>NG</v>
      </c>
      <c r="N79" s="175" t="s">
        <v>842</v>
      </c>
      <c r="O79" s="150">
        <f t="shared" si="22"/>
        <v>128.32049999999998</v>
      </c>
      <c r="P79" s="150">
        <f t="shared" si="23"/>
        <v>198.31091067263785</v>
      </c>
      <c r="Q79" s="175">
        <f>(O79+O78+O77+O76)-P79*SIN(AC69)</f>
        <v>585.57344999999998</v>
      </c>
      <c r="R79" s="150">
        <f t="shared" si="24"/>
        <v>527.92890473997329</v>
      </c>
      <c r="S79" s="150">
        <f t="shared" si="25"/>
        <v>1.3049293853606805</v>
      </c>
      <c r="T79" s="170" t="s">
        <v>741</v>
      </c>
      <c r="U79" s="116">
        <f t="shared" ref="U79:AA79" si="27">U78</f>
        <v>440</v>
      </c>
      <c r="V79" s="116" t="str">
        <f t="shared" si="27"/>
        <v>x</v>
      </c>
      <c r="W79" s="116">
        <f t="shared" si="27"/>
        <v>300</v>
      </c>
      <c r="X79" s="116" t="str">
        <f t="shared" si="27"/>
        <v>x</v>
      </c>
      <c r="Y79" s="116">
        <f t="shared" si="27"/>
        <v>11</v>
      </c>
      <c r="Z79" s="116" t="str">
        <f t="shared" si="27"/>
        <v>x</v>
      </c>
      <c r="AA79" s="89">
        <f t="shared" si="27"/>
        <v>18</v>
      </c>
      <c r="AB79" s="177" t="str">
        <f t="shared" si="26"/>
        <v>NG</v>
      </c>
    </row>
    <row r="80" spans="1:29" ht="18">
      <c r="A80" s="164" t="s">
        <v>716</v>
      </c>
      <c r="B80" s="175">
        <f>B67*B66*B66*0.25-(B67-B68)*((B66-2*B69)^2)*0.25</f>
        <v>9194136</v>
      </c>
      <c r="C80" s="93" t="s">
        <v>714</v>
      </c>
      <c r="D80" s="164" t="s">
        <v>716</v>
      </c>
      <c r="E80" s="175">
        <f>E67*E66*E66*0.25-(E67-E68)*(E66-2*E69)^2*0.25</f>
        <v>2727644</v>
      </c>
      <c r="F80" s="93" t="s">
        <v>714</v>
      </c>
      <c r="G80" s="164" t="s">
        <v>716</v>
      </c>
      <c r="H80" s="175">
        <f>H67*H66*H66*0.25-(H67-H68)*(H66-2*H69)^2*0.25</f>
        <v>2287255</v>
      </c>
      <c r="I80" s="93" t="s">
        <v>714</v>
      </c>
      <c r="M80" s="177" t="str">
        <f t="shared" si="21"/>
        <v>OK</v>
      </c>
      <c r="N80" s="175" t="s">
        <v>841</v>
      </c>
      <c r="O80" s="150">
        <f t="shared" si="22"/>
        <v>326.28750000000002</v>
      </c>
      <c r="P80" s="150">
        <f t="shared" si="23"/>
        <v>504.25591597677953</v>
      </c>
      <c r="Q80" s="175">
        <f>(O80+O79+O78+O77+O76)-P80*SIN(AC70)</f>
        <v>694.09725000000003</v>
      </c>
      <c r="R80" s="150">
        <f t="shared" si="24"/>
        <v>1189.331274251849</v>
      </c>
      <c r="S80" s="150">
        <f t="shared" si="25"/>
        <v>0.68659171559553445</v>
      </c>
      <c r="T80" s="170" t="s">
        <v>741</v>
      </c>
      <c r="U80" s="116">
        <f>B66</f>
        <v>718</v>
      </c>
      <c r="V80" s="116" t="str">
        <f>V79</f>
        <v>x</v>
      </c>
      <c r="W80" s="116">
        <f>B67</f>
        <v>308</v>
      </c>
      <c r="X80" s="116" t="str">
        <f>X79</f>
        <v>x</v>
      </c>
      <c r="Y80" s="116">
        <f>B68</f>
        <v>21</v>
      </c>
      <c r="Z80" s="116" t="str">
        <f>Z79</f>
        <v>x</v>
      </c>
      <c r="AA80" s="89">
        <f>B69</f>
        <v>33</v>
      </c>
      <c r="AB80" s="177" t="str">
        <f t="shared" si="26"/>
        <v>OK</v>
      </c>
    </row>
    <row r="81" spans="1:28" ht="18.75" thickBot="1">
      <c r="A81" s="166" t="s">
        <v>717</v>
      </c>
      <c r="B81" s="146">
        <f>B69*B67*B67*0.25*2+(B66-2*B69)*B68*B68*0.25</f>
        <v>1637139</v>
      </c>
      <c r="C81" s="167" t="s">
        <v>714</v>
      </c>
      <c r="D81" s="166" t="s">
        <v>717</v>
      </c>
      <c r="E81" s="146">
        <f>E69*E67*E67*0.25*2+(E66-2*E69)*E68*E68*0.25</f>
        <v>822221</v>
      </c>
      <c r="F81" s="167" t="s">
        <v>714</v>
      </c>
      <c r="G81" s="166" t="s">
        <v>717</v>
      </c>
      <c r="H81" s="146">
        <f>H69*H67*H67*0.25*2+(H66-2*H69)*H68*H68*0.25</f>
        <v>680607.5</v>
      </c>
      <c r="I81" s="167" t="s">
        <v>714</v>
      </c>
      <c r="M81" s="177" t="str">
        <f t="shared" si="21"/>
        <v>NG</v>
      </c>
      <c r="N81" s="175" t="s">
        <v>840</v>
      </c>
      <c r="O81" s="150">
        <f t="shared" si="22"/>
        <v>326.28750000000002</v>
      </c>
      <c r="P81" s="150">
        <f t="shared" si="23"/>
        <v>504.25591597677953</v>
      </c>
      <c r="Q81" s="175">
        <f>(O81+O80+O79+O78+O77+O76)-P81*SIN(AC71)</f>
        <v>1020.3847500000002</v>
      </c>
      <c r="R81" s="150">
        <f t="shared" si="24"/>
        <v>1189.331274251849</v>
      </c>
      <c r="S81" s="150">
        <f t="shared" si="25"/>
        <v>1.0093509462399117</v>
      </c>
      <c r="T81" s="170" t="s">
        <v>741</v>
      </c>
      <c r="U81" s="116">
        <f>U80</f>
        <v>718</v>
      </c>
      <c r="V81" s="116" t="str">
        <f>V80</f>
        <v>x</v>
      </c>
      <c r="W81" s="116">
        <f>W80</f>
        <v>308</v>
      </c>
      <c r="X81" s="116" t="str">
        <f>X80</f>
        <v>x</v>
      </c>
      <c r="Y81" s="116">
        <f>Y80</f>
        <v>21</v>
      </c>
      <c r="Z81" s="116" t="str">
        <f>Z80</f>
        <v>x</v>
      </c>
      <c r="AA81" s="89">
        <f>AA80</f>
        <v>33</v>
      </c>
      <c r="AB81" s="177" t="str">
        <f t="shared" si="26"/>
        <v>NG</v>
      </c>
    </row>
    <row r="82" spans="1:28">
      <c r="A82" s="168" t="s">
        <v>719</v>
      </c>
      <c r="B82" s="169">
        <f>B80*B70/1000</f>
        <v>32179.475999999999</v>
      </c>
      <c r="C82" s="99" t="s">
        <v>721</v>
      </c>
      <c r="D82" s="168" t="s">
        <v>719</v>
      </c>
      <c r="E82" s="169">
        <f>E80*E70/1000</f>
        <v>9546.7540000000008</v>
      </c>
      <c r="F82" s="99" t="s">
        <v>721</v>
      </c>
      <c r="G82" s="168" t="s">
        <v>719</v>
      </c>
      <c r="H82" s="169">
        <f>H80*H70/1000</f>
        <v>8005.3924999999999</v>
      </c>
      <c r="I82" s="99" t="s">
        <v>721</v>
      </c>
    </row>
    <row r="83" spans="1:28" ht="16.5" thickBot="1">
      <c r="A83" s="166" t="s">
        <v>720</v>
      </c>
      <c r="B83" s="146">
        <f>0.6*(B66-B69-B69)*B68*B70/10/10</f>
        <v>287.53199999999998</v>
      </c>
      <c r="C83" s="167" t="s">
        <v>722</v>
      </c>
      <c r="D83" s="166" t="s">
        <v>720</v>
      </c>
      <c r="E83" s="146">
        <f>0.6*(E66-E69-E69)*E68*E70/10/10</f>
        <v>93.323999999999984</v>
      </c>
      <c r="F83" s="167" t="s">
        <v>722</v>
      </c>
      <c r="G83" s="166" t="s">
        <v>720</v>
      </c>
      <c r="H83" s="146">
        <f>0.6*(H66-H69-H69)*H68*H70/10/10</f>
        <v>84.84</v>
      </c>
      <c r="I83" s="167" t="s">
        <v>722</v>
      </c>
    </row>
    <row r="84" spans="1:28">
      <c r="A84" s="168" t="s">
        <v>748</v>
      </c>
      <c r="B84" s="169">
        <f>B67*0.5/B69</f>
        <v>4.666666666666667</v>
      </c>
      <c r="C84" s="169"/>
      <c r="D84" s="169" t="s">
        <v>748</v>
      </c>
      <c r="E84" s="169">
        <f>E67*0.5/E69</f>
        <v>8.3333333333333339</v>
      </c>
      <c r="F84" s="99"/>
      <c r="G84" s="169" t="s">
        <v>748</v>
      </c>
      <c r="H84" s="169">
        <f>H67*0.5/H69</f>
        <v>9.9666666666666668</v>
      </c>
      <c r="I84" s="99"/>
    </row>
    <row r="85" spans="1:28">
      <c r="A85" s="164" t="s">
        <v>749</v>
      </c>
      <c r="B85" s="175">
        <f>25/SQRT(B70)</f>
        <v>13.363062095621219</v>
      </c>
      <c r="C85" s="175"/>
      <c r="D85" s="175" t="s">
        <v>749</v>
      </c>
      <c r="E85" s="175">
        <f>25/SQRT(E70)</f>
        <v>13.363062095621219</v>
      </c>
      <c r="F85" s="93"/>
      <c r="G85" s="175" t="s">
        <v>749</v>
      </c>
      <c r="H85" s="175">
        <f>25/SQRT(H70)</f>
        <v>13.363062095621219</v>
      </c>
      <c r="I85" s="93"/>
    </row>
    <row r="86" spans="1:28">
      <c r="A86" s="164" t="s">
        <v>750</v>
      </c>
      <c r="B86" s="175">
        <f>16/SQRT(B70)</f>
        <v>8.5523597411975807</v>
      </c>
      <c r="C86" s="175"/>
      <c r="D86" s="175" t="s">
        <v>750</v>
      </c>
      <c r="E86" s="175">
        <f>16/SQRT(E70)</f>
        <v>8.5523597411975807</v>
      </c>
      <c r="F86" s="93"/>
      <c r="G86" s="175" t="s">
        <v>750</v>
      </c>
      <c r="H86" s="175">
        <f>16/SQRT(H70)</f>
        <v>8.5523597411975807</v>
      </c>
      <c r="I86" s="93"/>
    </row>
    <row r="87" spans="1:28">
      <c r="A87" s="164" t="s">
        <v>751</v>
      </c>
      <c r="B87" s="175">
        <f>(B66-B69-B69)/B68</f>
        <v>31.047619047619047</v>
      </c>
      <c r="C87" s="175"/>
      <c r="D87" s="175" t="s">
        <v>751</v>
      </c>
      <c r="E87" s="175">
        <f>(E66-E69-E69)/E68</f>
        <v>36.727272727272727</v>
      </c>
      <c r="F87" s="93"/>
      <c r="G87" s="175" t="s">
        <v>751</v>
      </c>
      <c r="H87" s="175">
        <f>(H66-H69-H69)/H68</f>
        <v>40.4</v>
      </c>
      <c r="I87" s="93"/>
    </row>
    <row r="88" spans="1:28">
      <c r="A88" s="164" t="s">
        <v>752</v>
      </c>
      <c r="B88" s="175">
        <f>260/SQRT(B70)</f>
        <v>138.9758457944607</v>
      </c>
      <c r="C88" s="175"/>
      <c r="D88" s="175" t="s">
        <v>752</v>
      </c>
      <c r="E88" s="175">
        <f>260/SQRT(E70)</f>
        <v>138.9758457944607</v>
      </c>
      <c r="F88" s="93"/>
      <c r="G88" s="175" t="s">
        <v>752</v>
      </c>
      <c r="H88" s="175">
        <f>260/SQRT(H70)</f>
        <v>138.9758457944607</v>
      </c>
      <c r="I88" s="93"/>
    </row>
    <row r="89" spans="1:28" ht="16.5" thickBot="1">
      <c r="A89" s="165" t="s">
        <v>753</v>
      </c>
      <c r="B89" s="94">
        <f>170/SQRT(B70)</f>
        <v>90.868822250224298</v>
      </c>
      <c r="C89" s="94"/>
      <c r="D89" s="94" t="s">
        <v>753</v>
      </c>
      <c r="E89" s="94">
        <f>170/SQRT(E70)</f>
        <v>90.868822250224298</v>
      </c>
      <c r="F89" s="95"/>
      <c r="G89" s="94" t="s">
        <v>753</v>
      </c>
      <c r="H89" s="94">
        <f>170/SQRT(H70)</f>
        <v>90.868822250224298</v>
      </c>
      <c r="I89" s="95"/>
      <c r="N89" s="173" t="s">
        <v>760</v>
      </c>
      <c r="O89" s="174"/>
      <c r="P89" s="174"/>
      <c r="Q89" s="174"/>
      <c r="R89" s="174"/>
    </row>
    <row r="90" spans="1:28" ht="18.75">
      <c r="N90" s="175" t="s">
        <v>731</v>
      </c>
      <c r="O90" s="175" t="s">
        <v>747</v>
      </c>
      <c r="P90" s="175" t="s">
        <v>745</v>
      </c>
      <c r="Q90" s="175"/>
      <c r="R90" s="175"/>
    </row>
    <row r="91" spans="1:28">
      <c r="N91" s="175" t="s">
        <v>834</v>
      </c>
      <c r="O91" s="175">
        <f>0.5*400/SIN($Q$46)/SQRT((H75/10000)/(H74/100))*SQRT(3.52/2039/PI()/PI())</f>
        <v>0.20008134596109559</v>
      </c>
      <c r="P91" s="175">
        <f>IF(O91&lt;=1.5,(0.658^(O91*O91))*3.52*H74/100,0.877/O91/O91*3.52*H74/100)</f>
        <v>450.34265092022594</v>
      </c>
      <c r="Q91" s="175"/>
      <c r="R91" s="175"/>
    </row>
    <row r="92" spans="1:28">
      <c r="N92" s="175" t="s">
        <v>843</v>
      </c>
      <c r="O92" s="175">
        <f>0.5*400/SIN($Q$47)/SQRT((H75/10000)/(H74/100))*SQRT(3.52/2039/PI()/PI())</f>
        <v>0.20008134596109559</v>
      </c>
      <c r="P92" s="175">
        <f>IF(O92&lt;=1.5,(0.658^(O92*O92))*3.52*H74/100,0.877/O92/O92*3.52*H74/100)</f>
        <v>450.34265092022594</v>
      </c>
      <c r="Q92" s="175"/>
      <c r="R92" s="175"/>
    </row>
    <row r="93" spans="1:28">
      <c r="N93" s="175" t="s">
        <v>586</v>
      </c>
      <c r="O93" s="150">
        <f>0.5*400/SIN($Q$48)/SQRT((E75/10000)/(E74/100))*SQRT(3.52/2039/PI()/PI())</f>
        <v>0.19716317804878863</v>
      </c>
      <c r="P93" s="150">
        <f>IF(O93&lt;=1.5,(0.658^(O93*O93))*3.52*E74/100,0.877/O93/O93*3.52*E74/100)</f>
        <v>527.92890473997329</v>
      </c>
      <c r="Q93" s="150"/>
      <c r="R93" s="150"/>
    </row>
    <row r="94" spans="1:28">
      <c r="N94" s="175" t="s">
        <v>842</v>
      </c>
      <c r="O94" s="150">
        <f>0.5*400/SIN($Q$49)/SQRT((E75/10000)/(E74/100))*SQRT(3.52/2039/PI()/PI())</f>
        <v>0.19716317804878863</v>
      </c>
      <c r="P94" s="150">
        <f>IF(O94&lt;=1.5,(0.658^(O94*O94))*3.52*E74/100,0.877/O94/O94*3.52*E74/100)</f>
        <v>527.92890473997329</v>
      </c>
      <c r="Q94" s="150"/>
      <c r="R94" s="150"/>
    </row>
    <row r="95" spans="1:28">
      <c r="N95" s="175" t="s">
        <v>841</v>
      </c>
      <c r="O95" s="150">
        <f>0.5*400/SIN($Q$50)/SQRT((B75/10000)/(B74/100))*SQRT(3.52/2039/PI()/PI())</f>
        <v>0.12791286664881171</v>
      </c>
      <c r="P95" s="150">
        <f>IF(O95&lt;=1.5,(0.658^(O95*O95))*3.52*B74/100,0.877/O95/O95*3.52*B74/100)</f>
        <v>1189.331274251849</v>
      </c>
      <c r="Q95" s="150"/>
      <c r="R95" s="150"/>
    </row>
    <row r="96" spans="1:28">
      <c r="N96" s="175" t="s">
        <v>840</v>
      </c>
      <c r="O96" s="150">
        <f>0.5*400/SIN($Q$51)/SQRT((B75/10000)/(B74/100))*SQRT(3.52/2039/PI()/PI())</f>
        <v>0.12791286664881171</v>
      </c>
      <c r="P96" s="150">
        <f>IF(O96&lt;=1.5,(0.658^(O96*O96))*3.52*B74/100,0.877/O96/O96*3.52*B74/100)</f>
        <v>1189.331274251849</v>
      </c>
      <c r="Q96" s="150"/>
      <c r="R96" s="150"/>
    </row>
  </sheetData>
  <mergeCells count="12">
    <mergeCell ref="T75:AA75"/>
    <mergeCell ref="A65:C65"/>
    <mergeCell ref="D65:F65"/>
    <mergeCell ref="A10:C10"/>
    <mergeCell ref="D10:F10"/>
    <mergeCell ref="T10:AA10"/>
    <mergeCell ref="A37:C37"/>
    <mergeCell ref="D37:F37"/>
    <mergeCell ref="T45:AA45"/>
    <mergeCell ref="G10:I10"/>
    <mergeCell ref="G37:I37"/>
    <mergeCell ref="G65:I65"/>
  </mergeCells>
  <phoneticPr fontId="11" type="noConversion"/>
  <pageMargins left="0.7" right="0.7" top="0.75" bottom="0.75" header="0.3" footer="0.3"/>
  <pageSetup paperSize="9" orientation="portrait" r:id="rId1"/>
  <ignoredErrors>
    <ignoredError sqref="Q15 Q1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zoomScale="115" zoomScaleNormal="115" workbookViewId="0">
      <selection activeCell="E113" sqref="E113"/>
    </sheetView>
  </sheetViews>
  <sheetFormatPr defaultColWidth="9" defaultRowHeight="15.75"/>
  <cols>
    <col min="1" max="1" width="11" style="174" bestFit="1" customWidth="1"/>
    <col min="2" max="2" width="15.25" style="174" bestFit="1" customWidth="1"/>
    <col min="3" max="3" width="25.75" style="174" customWidth="1"/>
    <col min="4" max="4" width="21.5" style="174" bestFit="1" customWidth="1"/>
    <col min="5" max="5" width="21.625" style="174" bestFit="1" customWidth="1"/>
    <col min="6" max="6" width="9" style="174"/>
    <col min="7" max="7" width="22.875" style="174" bestFit="1" customWidth="1"/>
    <col min="8" max="8" width="21.375" style="174" customWidth="1"/>
    <col min="9" max="9" width="6.25" style="174" bestFit="1" customWidth="1"/>
    <col min="10" max="10" width="10" style="174" customWidth="1"/>
    <col min="11" max="11" width="11.5" style="174" customWidth="1"/>
    <col min="12" max="12" width="10.5" style="174" bestFit="1" customWidth="1"/>
    <col min="13" max="13" width="21" style="174" customWidth="1"/>
    <col min="14" max="14" width="18.5" style="174" customWidth="1"/>
    <col min="15" max="15" width="11.625" style="174" bestFit="1" customWidth="1"/>
    <col min="16" max="16" width="9.625" style="174" bestFit="1" customWidth="1"/>
    <col min="17" max="17" width="9" style="174"/>
    <col min="18" max="18" width="8.25" style="174" customWidth="1"/>
    <col min="19" max="19" width="14.625" style="174" bestFit="1" customWidth="1"/>
    <col min="20" max="20" width="7.125" style="174" customWidth="1"/>
    <col min="21" max="16384" width="9" style="174"/>
  </cols>
  <sheetData>
    <row r="1" spans="1:22">
      <c r="A1" s="175" t="str">
        <f>EBF!A1</f>
        <v>Story</v>
      </c>
      <c r="B1" s="175" t="str">
        <f>EBF!B1</f>
        <v>lateral force (Tf)</v>
      </c>
      <c r="C1" s="175" t="str">
        <f>EBF!C1</f>
        <v>cumulative lateral force (Tf)</v>
      </c>
      <c r="D1" s="175" t="s">
        <v>761</v>
      </c>
      <c r="E1" s="175" t="str">
        <f>EBF!E1</f>
        <v>axial force of brace (Tf)</v>
      </c>
    </row>
    <row r="2" spans="1:22">
      <c r="A2" s="175" t="s">
        <v>834</v>
      </c>
      <c r="B2" s="180">
        <f>EBF!B2</f>
        <v>284.91134164650379</v>
      </c>
      <c r="C2" s="180">
        <f>EBF!C2</f>
        <v>284.91134164650379</v>
      </c>
      <c r="D2" s="180">
        <f t="shared" ref="D2:D7" si="0">C2/4</f>
        <v>71.227835411625946</v>
      </c>
      <c r="E2" s="180">
        <f t="shared" ref="E2:E7" si="1">D2/COS(G2)/2</f>
        <v>45.608067930405987</v>
      </c>
      <c r="G2" s="174">
        <f t="shared" ref="G2:G7" si="2">ATAN(4/5)</f>
        <v>0.67474094222355274</v>
      </c>
    </row>
    <row r="3" spans="1:22">
      <c r="A3" s="175" t="s">
        <v>831</v>
      </c>
      <c r="B3" s="175">
        <f>EBF!B3</f>
        <v>226.96221717674811</v>
      </c>
      <c r="C3" s="180">
        <f>EBF!C3</f>
        <v>511.87355882325187</v>
      </c>
      <c r="D3" s="180">
        <f t="shared" si="0"/>
        <v>127.96838970581297</v>
      </c>
      <c r="E3" s="180">
        <f t="shared" si="1"/>
        <v>81.939749775054338</v>
      </c>
      <c r="G3" s="174">
        <f t="shared" si="2"/>
        <v>0.67474094222355274</v>
      </c>
    </row>
    <row r="4" spans="1:22">
      <c r="A4" s="175" t="s">
        <v>847</v>
      </c>
      <c r="B4" s="180">
        <f>EBF!B4</f>
        <v>151.30814478449875</v>
      </c>
      <c r="C4" s="180">
        <f>EBF!C4</f>
        <v>663.18170360775059</v>
      </c>
      <c r="D4" s="180">
        <f t="shared" si="0"/>
        <v>165.79542590193765</v>
      </c>
      <c r="E4" s="180">
        <f t="shared" si="1"/>
        <v>106.1608710048199</v>
      </c>
      <c r="G4" s="174">
        <f t="shared" si="2"/>
        <v>0.67474094222355274</v>
      </c>
    </row>
    <row r="5" spans="1:22">
      <c r="A5" s="175" t="s">
        <v>846</v>
      </c>
      <c r="B5" s="175">
        <f>EBF!B5</f>
        <v>75.654072392249375</v>
      </c>
      <c r="C5" s="180">
        <f>EBF!C5</f>
        <v>738.83577600000001</v>
      </c>
      <c r="D5" s="180">
        <f t="shared" si="0"/>
        <v>184.708944</v>
      </c>
      <c r="E5" s="180">
        <f t="shared" si="1"/>
        <v>118.27143161970268</v>
      </c>
      <c r="G5" s="174">
        <f t="shared" si="2"/>
        <v>0.67474094222355274</v>
      </c>
      <c r="J5" s="174" t="s">
        <v>765</v>
      </c>
      <c r="K5" s="174">
        <v>3.5</v>
      </c>
    </row>
    <row r="6" spans="1:22">
      <c r="A6" s="175" t="s">
        <v>821</v>
      </c>
      <c r="B6" s="180">
        <f>EBF!B6</f>
        <v>0</v>
      </c>
      <c r="C6" s="180">
        <f>EBF!C6</f>
        <v>0</v>
      </c>
      <c r="D6" s="180">
        <f t="shared" si="0"/>
        <v>0</v>
      </c>
      <c r="E6" s="180">
        <f t="shared" si="1"/>
        <v>0</v>
      </c>
      <c r="G6" s="174">
        <f t="shared" si="2"/>
        <v>0.67474094222355274</v>
      </c>
      <c r="J6" s="174" t="s">
        <v>771</v>
      </c>
      <c r="K6" s="174">
        <v>200</v>
      </c>
      <c r="L6" s="174" t="s">
        <v>772</v>
      </c>
      <c r="M6" s="174">
        <f>K6*(10^9)/9.81/1000/100/100</f>
        <v>2038.7359836901121</v>
      </c>
      <c r="N6" s="174" t="s">
        <v>773</v>
      </c>
    </row>
    <row r="7" spans="1:22">
      <c r="A7" s="175" t="s">
        <v>848</v>
      </c>
      <c r="B7" s="175">
        <f>EBF!B7</f>
        <v>0</v>
      </c>
      <c r="C7" s="180">
        <f>EBF!C7</f>
        <v>0</v>
      </c>
      <c r="D7" s="180">
        <f t="shared" si="0"/>
        <v>0</v>
      </c>
      <c r="E7" s="180">
        <f t="shared" si="1"/>
        <v>0</v>
      </c>
      <c r="G7" s="174">
        <f t="shared" si="2"/>
        <v>0.67474094222355274</v>
      </c>
    </row>
    <row r="8" spans="1:22">
      <c r="A8" s="176"/>
      <c r="B8" s="181"/>
      <c r="C8" s="176"/>
      <c r="D8" s="176"/>
      <c r="E8" s="176"/>
      <c r="F8" s="176"/>
      <c r="G8" s="176"/>
      <c r="H8" s="176"/>
    </row>
    <row r="9" spans="1:22" ht="18.75">
      <c r="D9" s="176"/>
      <c r="E9" s="176"/>
      <c r="F9" s="186" t="s">
        <v>762</v>
      </c>
      <c r="G9" s="186" t="str">
        <f t="shared" ref="G9:G15" si="3">E1</f>
        <v>axial force of brace (Tf)</v>
      </c>
      <c r="H9" s="251" t="s">
        <v>766</v>
      </c>
      <c r="I9" s="251"/>
      <c r="J9" s="251"/>
      <c r="K9" s="175" t="s">
        <v>768</v>
      </c>
      <c r="L9" s="175" t="s">
        <v>767</v>
      </c>
      <c r="O9" s="176"/>
      <c r="P9" s="176"/>
      <c r="Q9" s="253"/>
      <c r="R9" s="253"/>
      <c r="S9" s="253"/>
      <c r="T9" s="62"/>
      <c r="U9" s="62"/>
      <c r="V9" s="62"/>
    </row>
    <row r="10" spans="1:22">
      <c r="D10" s="176"/>
      <c r="E10" s="176"/>
      <c r="F10" s="175" t="s">
        <v>834</v>
      </c>
      <c r="G10" s="187">
        <f t="shared" si="3"/>
        <v>45.608067930405987</v>
      </c>
      <c r="H10" s="184">
        <v>30</v>
      </c>
      <c r="I10" s="185" t="s">
        <v>764</v>
      </c>
      <c r="J10" s="178">
        <v>120</v>
      </c>
      <c r="K10" s="175">
        <f t="shared" ref="K10:K15" si="4">H10*J10/100</f>
        <v>36</v>
      </c>
      <c r="L10" s="175">
        <f t="shared" ref="L10:L15" si="5">0.9*$K$5*K10</f>
        <v>113.39999999999999</v>
      </c>
      <c r="M10" s="177" t="str">
        <f>IF(L10&gt;G10,"OK","NG")</f>
        <v>OK</v>
      </c>
      <c r="O10" s="176"/>
      <c r="P10" s="176"/>
      <c r="Q10" s="198"/>
      <c r="R10" s="198"/>
      <c r="S10" s="198"/>
      <c r="T10" s="62"/>
      <c r="U10" s="62"/>
      <c r="V10" s="62"/>
    </row>
    <row r="11" spans="1:22">
      <c r="D11" s="176"/>
      <c r="E11" s="176"/>
      <c r="F11" s="175" t="s">
        <v>831</v>
      </c>
      <c r="G11" s="187">
        <f t="shared" si="3"/>
        <v>81.939749775054338</v>
      </c>
      <c r="H11" s="184">
        <v>30</v>
      </c>
      <c r="I11" s="185" t="s">
        <v>764</v>
      </c>
      <c r="J11" s="178">
        <v>120</v>
      </c>
      <c r="K11" s="175">
        <f t="shared" si="4"/>
        <v>36</v>
      </c>
      <c r="L11" s="175">
        <f t="shared" si="5"/>
        <v>113.39999999999999</v>
      </c>
      <c r="M11" s="177" t="str">
        <f>IF(L11&gt;G11,"OK","NG")</f>
        <v>OK</v>
      </c>
      <c r="O11" s="176"/>
      <c r="P11" s="176"/>
      <c r="Q11" s="198"/>
      <c r="R11" s="198"/>
      <c r="S11" s="198"/>
      <c r="T11" s="62"/>
      <c r="U11" s="62"/>
      <c r="V11" s="62"/>
    </row>
    <row r="12" spans="1:22">
      <c r="D12" s="176"/>
      <c r="E12" s="176"/>
      <c r="F12" s="175" t="s">
        <v>847</v>
      </c>
      <c r="G12" s="187">
        <f t="shared" si="3"/>
        <v>106.1608710048199</v>
      </c>
      <c r="H12" s="184">
        <v>40</v>
      </c>
      <c r="I12" s="185" t="s">
        <v>764</v>
      </c>
      <c r="J12" s="178">
        <v>100</v>
      </c>
      <c r="K12" s="175">
        <f t="shared" si="4"/>
        <v>40</v>
      </c>
      <c r="L12" s="175">
        <f t="shared" si="5"/>
        <v>126</v>
      </c>
      <c r="M12" s="177" t="str">
        <f>IF(L12&gt;G10,"OK","NG")</f>
        <v>OK</v>
      </c>
      <c r="O12" s="176"/>
      <c r="P12" s="181"/>
      <c r="Q12" s="176"/>
      <c r="R12" s="198"/>
      <c r="S12" s="79"/>
      <c r="T12" s="62"/>
      <c r="U12" s="62"/>
      <c r="V12" s="171"/>
    </row>
    <row r="13" spans="1:22">
      <c r="D13" s="176"/>
      <c r="E13" s="176"/>
      <c r="F13" s="175" t="s">
        <v>846</v>
      </c>
      <c r="G13" s="187">
        <f t="shared" si="3"/>
        <v>118.27143161970268</v>
      </c>
      <c r="H13" s="183">
        <v>40</v>
      </c>
      <c r="I13" s="182" t="s">
        <v>764</v>
      </c>
      <c r="J13" s="178">
        <v>100</v>
      </c>
      <c r="K13" s="175">
        <f t="shared" si="4"/>
        <v>40</v>
      </c>
      <c r="L13" s="175">
        <f t="shared" si="5"/>
        <v>126</v>
      </c>
      <c r="M13" s="177" t="str">
        <f>IF(L13&gt;G11,"OK","NG")</f>
        <v>OK</v>
      </c>
      <c r="O13" s="176"/>
      <c r="P13" s="181"/>
      <c r="Q13" s="176"/>
      <c r="R13" s="198"/>
      <c r="S13" s="79"/>
      <c r="T13" s="62"/>
      <c r="U13" s="62"/>
      <c r="V13" s="171"/>
    </row>
    <row r="14" spans="1:22">
      <c r="D14" s="176"/>
      <c r="E14" s="176"/>
      <c r="F14" s="175" t="s">
        <v>821</v>
      </c>
      <c r="G14" s="187">
        <f t="shared" si="3"/>
        <v>0</v>
      </c>
      <c r="H14" s="183">
        <v>40</v>
      </c>
      <c r="I14" s="182" t="s">
        <v>764</v>
      </c>
      <c r="J14" s="178">
        <v>150</v>
      </c>
      <c r="K14" s="175">
        <f t="shared" si="4"/>
        <v>60</v>
      </c>
      <c r="L14" s="175">
        <f t="shared" si="5"/>
        <v>189</v>
      </c>
      <c r="M14" s="177" t="str">
        <f>IF(L14&gt;G14,"OK","NG")</f>
        <v>OK</v>
      </c>
      <c r="O14" s="176"/>
      <c r="P14" s="181"/>
      <c r="Q14" s="176"/>
      <c r="R14" s="198"/>
      <c r="S14" s="79"/>
      <c r="T14" s="62"/>
      <c r="U14" s="62"/>
      <c r="V14" s="171"/>
    </row>
    <row r="15" spans="1:22">
      <c r="D15" s="176"/>
      <c r="E15" s="176"/>
      <c r="F15" s="175" t="s">
        <v>848</v>
      </c>
      <c r="G15" s="187">
        <f t="shared" si="3"/>
        <v>0</v>
      </c>
      <c r="H15" s="183">
        <v>40</v>
      </c>
      <c r="I15" s="182" t="s">
        <v>764</v>
      </c>
      <c r="J15" s="178">
        <v>150</v>
      </c>
      <c r="K15" s="175">
        <f t="shared" si="4"/>
        <v>60</v>
      </c>
      <c r="L15" s="175">
        <f t="shared" si="5"/>
        <v>189</v>
      </c>
      <c r="M15" s="177" t="str">
        <f>IF(L15&gt;G15,"OK","NG")</f>
        <v>OK</v>
      </c>
      <c r="O15" s="176"/>
      <c r="P15" s="181"/>
      <c r="Q15" s="176"/>
      <c r="R15" s="198"/>
      <c r="S15" s="79"/>
      <c r="T15" s="62"/>
      <c r="U15" s="62"/>
      <c r="V15" s="171"/>
    </row>
    <row r="16" spans="1:22">
      <c r="D16" s="176"/>
      <c r="E16" s="176"/>
      <c r="F16" s="176"/>
      <c r="G16" s="176"/>
      <c r="H16" s="176"/>
    </row>
    <row r="17" spans="4:25">
      <c r="D17" s="176"/>
      <c r="E17" s="176"/>
      <c r="F17" s="176"/>
      <c r="G17" s="176"/>
      <c r="H17" s="176"/>
      <c r="J17" s="174" t="s">
        <v>774</v>
      </c>
      <c r="L17" s="174">
        <f>1.3</f>
        <v>1.3</v>
      </c>
    </row>
    <row r="18" spans="4:25">
      <c r="D18" s="176"/>
      <c r="E18" s="176"/>
      <c r="F18" s="176"/>
      <c r="G18" s="176"/>
      <c r="H18" s="176"/>
      <c r="J18" s="174" t="s">
        <v>775</v>
      </c>
      <c r="L18" s="174">
        <v>1.1000000000000001</v>
      </c>
    </row>
    <row r="19" spans="4:25">
      <c r="D19" s="176"/>
      <c r="E19" s="176"/>
      <c r="F19" s="176"/>
      <c r="G19" s="176"/>
      <c r="H19" s="176"/>
      <c r="J19" s="174" t="s">
        <v>776</v>
      </c>
      <c r="L19" s="174">
        <v>1.1000000000000001</v>
      </c>
    </row>
    <row r="20" spans="4:25" ht="18.75">
      <c r="D20" s="176"/>
      <c r="E20" s="176"/>
      <c r="F20" s="176"/>
      <c r="G20" s="176"/>
      <c r="H20" s="176"/>
      <c r="J20" s="186" t="s">
        <v>762</v>
      </c>
      <c r="K20" s="175" t="s">
        <v>768</v>
      </c>
      <c r="L20" s="175" t="s">
        <v>769</v>
      </c>
      <c r="M20" s="175" t="s">
        <v>770</v>
      </c>
      <c r="N20" s="175" t="s">
        <v>778</v>
      </c>
      <c r="O20" s="175" t="s">
        <v>777</v>
      </c>
      <c r="P20" s="175" t="s">
        <v>779</v>
      </c>
      <c r="S20" s="175" t="s">
        <v>787</v>
      </c>
      <c r="U20" s="174" t="s">
        <v>788</v>
      </c>
    </row>
    <row r="21" spans="4:25">
      <c r="D21" s="176"/>
      <c r="E21" s="176"/>
      <c r="F21" s="176"/>
      <c r="G21" s="176"/>
      <c r="H21" s="176"/>
      <c r="J21" s="175" t="s">
        <v>834</v>
      </c>
      <c r="K21" s="175">
        <f t="shared" ref="K21:K26" si="6">K10</f>
        <v>36</v>
      </c>
      <c r="L21" s="175">
        <v>3.5</v>
      </c>
      <c r="M21" s="150">
        <f t="shared" ref="M21:M26" si="7">400/SIN(G2)</f>
        <v>640.31242374328485</v>
      </c>
      <c r="N21" s="150">
        <f t="shared" ref="N21:N26" si="8">$M$6*K21/M21</f>
        <v>114.62294450539893</v>
      </c>
      <c r="O21" s="150">
        <f t="shared" ref="O21:O26" si="9">K21*L21*$L$17*$L$18</f>
        <v>180.18000000000004</v>
      </c>
      <c r="P21" s="150">
        <f t="shared" ref="P21:P26" si="10">K21*L21*$L$17*$L$18*$L$19</f>
        <v>198.19800000000006</v>
      </c>
      <c r="S21" s="174">
        <f t="shared" ref="S21:S26" si="11">N21*1000</f>
        <v>114622.94450539893</v>
      </c>
      <c r="U21" s="174">
        <f t="shared" ref="U21:U26" si="12">O21*1000</f>
        <v>180180.00000000003</v>
      </c>
    </row>
    <row r="22" spans="4:25">
      <c r="D22" s="176"/>
      <c r="E22" s="176"/>
      <c r="F22" s="176"/>
      <c r="G22" s="176"/>
      <c r="H22" s="176"/>
      <c r="J22" s="175" t="s">
        <v>831</v>
      </c>
      <c r="K22" s="175">
        <f t="shared" si="6"/>
        <v>36</v>
      </c>
      <c r="L22" s="175">
        <v>3.5</v>
      </c>
      <c r="M22" s="150">
        <f t="shared" si="7"/>
        <v>640.31242374328485</v>
      </c>
      <c r="N22" s="150">
        <f t="shared" si="8"/>
        <v>114.62294450539893</v>
      </c>
      <c r="O22" s="150">
        <f t="shared" si="9"/>
        <v>180.18000000000004</v>
      </c>
      <c r="P22" s="150">
        <f t="shared" si="10"/>
        <v>198.19800000000006</v>
      </c>
      <c r="S22" s="174">
        <f t="shared" si="11"/>
        <v>114622.94450539893</v>
      </c>
      <c r="U22" s="174">
        <f t="shared" si="12"/>
        <v>180180.00000000003</v>
      </c>
    </row>
    <row r="23" spans="4:25">
      <c r="D23" s="176"/>
      <c r="E23" s="176"/>
      <c r="F23" s="176"/>
      <c r="G23" s="176"/>
      <c r="H23" s="176"/>
      <c r="J23" s="175" t="s">
        <v>847</v>
      </c>
      <c r="K23" s="175">
        <f t="shared" si="6"/>
        <v>40</v>
      </c>
      <c r="L23" s="175">
        <v>3.5</v>
      </c>
      <c r="M23" s="150">
        <f t="shared" si="7"/>
        <v>640.31242374328485</v>
      </c>
      <c r="N23" s="150">
        <f t="shared" si="8"/>
        <v>127.35882722822105</v>
      </c>
      <c r="O23" s="150">
        <f t="shared" si="9"/>
        <v>200.20000000000002</v>
      </c>
      <c r="P23" s="150">
        <f t="shared" si="10"/>
        <v>220.22000000000003</v>
      </c>
      <c r="S23" s="174">
        <f t="shared" si="11"/>
        <v>127358.82722822104</v>
      </c>
      <c r="U23" s="174">
        <f t="shared" si="12"/>
        <v>200200.00000000003</v>
      </c>
    </row>
    <row r="24" spans="4:25">
      <c r="D24" s="176"/>
      <c r="E24" s="176"/>
      <c r="F24" s="176"/>
      <c r="G24" s="176"/>
      <c r="H24" s="176"/>
      <c r="J24" s="175" t="s">
        <v>846</v>
      </c>
      <c r="K24" s="175">
        <f t="shared" si="6"/>
        <v>40</v>
      </c>
      <c r="L24" s="175">
        <v>3.5</v>
      </c>
      <c r="M24" s="150">
        <f t="shared" si="7"/>
        <v>640.31242374328485</v>
      </c>
      <c r="N24" s="150">
        <f t="shared" si="8"/>
        <v>127.35882722822105</v>
      </c>
      <c r="O24" s="150">
        <f t="shared" si="9"/>
        <v>200.20000000000002</v>
      </c>
      <c r="P24" s="150">
        <f t="shared" si="10"/>
        <v>220.22000000000003</v>
      </c>
      <c r="S24" s="174">
        <f t="shared" si="11"/>
        <v>127358.82722822104</v>
      </c>
      <c r="U24" s="174">
        <f t="shared" si="12"/>
        <v>200200.00000000003</v>
      </c>
    </row>
    <row r="25" spans="4:25">
      <c r="J25" s="175" t="s">
        <v>821</v>
      </c>
      <c r="K25" s="175">
        <f t="shared" si="6"/>
        <v>60</v>
      </c>
      <c r="L25" s="175">
        <v>3.5</v>
      </c>
      <c r="M25" s="150">
        <f t="shared" si="7"/>
        <v>640.31242374328485</v>
      </c>
      <c r="N25" s="150">
        <f t="shared" si="8"/>
        <v>191.03824084233159</v>
      </c>
      <c r="O25" s="150">
        <f t="shared" si="9"/>
        <v>300.3</v>
      </c>
      <c r="P25" s="150">
        <f t="shared" si="10"/>
        <v>330.33000000000004</v>
      </c>
      <c r="S25" s="174">
        <f t="shared" si="11"/>
        <v>191038.24084233158</v>
      </c>
      <c r="U25" s="174">
        <f t="shared" si="12"/>
        <v>300300</v>
      </c>
    </row>
    <row r="26" spans="4:25">
      <c r="J26" s="175" t="s">
        <v>848</v>
      </c>
      <c r="K26" s="175">
        <f t="shared" si="6"/>
        <v>60</v>
      </c>
      <c r="L26" s="175">
        <v>3.5</v>
      </c>
      <c r="M26" s="150">
        <f t="shared" si="7"/>
        <v>640.31242374328485</v>
      </c>
      <c r="N26" s="150">
        <f t="shared" si="8"/>
        <v>191.03824084233159</v>
      </c>
      <c r="O26" s="150">
        <f t="shared" si="9"/>
        <v>300.3</v>
      </c>
      <c r="P26" s="150">
        <f t="shared" si="10"/>
        <v>330.33000000000004</v>
      </c>
      <c r="S26" s="174">
        <f t="shared" si="11"/>
        <v>191038.24084233158</v>
      </c>
      <c r="U26" s="174">
        <f t="shared" si="12"/>
        <v>300300</v>
      </c>
    </row>
    <row r="28" spans="4:25">
      <c r="J28" s="173" t="s">
        <v>780</v>
      </c>
    </row>
    <row r="29" spans="4:25" ht="31.5">
      <c r="J29" s="186" t="s">
        <v>762</v>
      </c>
      <c r="K29" s="175" t="s">
        <v>777</v>
      </c>
      <c r="L29" s="175" t="s">
        <v>779</v>
      </c>
      <c r="M29" s="149" t="s">
        <v>781</v>
      </c>
      <c r="N29" s="149" t="s">
        <v>782</v>
      </c>
      <c r="O29" s="252" t="s">
        <v>763</v>
      </c>
      <c r="P29" s="252"/>
      <c r="Q29" s="252"/>
      <c r="R29" s="252"/>
      <c r="S29" s="252"/>
      <c r="T29" s="252"/>
      <c r="U29" s="252"/>
      <c r="W29" s="114" t="s">
        <v>678</v>
      </c>
      <c r="X29" s="175" t="s">
        <v>679</v>
      </c>
      <c r="Y29" s="175" t="s">
        <v>680</v>
      </c>
    </row>
    <row r="30" spans="4:25">
      <c r="J30" s="175" t="s">
        <v>834</v>
      </c>
      <c r="K30" s="150">
        <f t="shared" ref="K30:K35" si="13">O21</f>
        <v>180.18000000000004</v>
      </c>
      <c r="L30" s="150">
        <f t="shared" ref="L30:L35" si="14">P21</f>
        <v>198.19800000000006</v>
      </c>
      <c r="M30" s="150">
        <f t="shared" ref="M30:M35" si="15">(L30+K30)*COS(G2)/2</f>
        <v>147.73178918971749</v>
      </c>
      <c r="N30" s="150">
        <f t="shared" ref="N30:N35" si="16">(L30-K30)*SIN(G2)*1000/4</f>
        <v>2813.9388417089085</v>
      </c>
      <c r="O30" s="199">
        <f>H38</f>
        <v>466</v>
      </c>
      <c r="P30" s="200" t="s">
        <v>764</v>
      </c>
      <c r="Q30" s="200">
        <f>H39</f>
        <v>205</v>
      </c>
      <c r="R30" s="200" t="s">
        <v>764</v>
      </c>
      <c r="S30" s="200">
        <f>H40</f>
        <v>14</v>
      </c>
      <c r="T30" s="200" t="s">
        <v>764</v>
      </c>
      <c r="U30" s="201">
        <f>H41</f>
        <v>22</v>
      </c>
      <c r="W30" s="114">
        <v>20</v>
      </c>
      <c r="X30" s="175">
        <v>50</v>
      </c>
      <c r="Y30" s="175">
        <f t="shared" ref="Y30:Y53" si="17">X30*W30</f>
        <v>1000</v>
      </c>
    </row>
    <row r="31" spans="4:25">
      <c r="J31" s="175" t="s">
        <v>831</v>
      </c>
      <c r="K31" s="150">
        <f t="shared" si="13"/>
        <v>180.18000000000004</v>
      </c>
      <c r="L31" s="150">
        <f t="shared" si="14"/>
        <v>198.19800000000006</v>
      </c>
      <c r="M31" s="150">
        <f t="shared" si="15"/>
        <v>147.73178918971749</v>
      </c>
      <c r="N31" s="150">
        <f t="shared" si="16"/>
        <v>2813.9388417089085</v>
      </c>
      <c r="O31" s="199">
        <f>O30</f>
        <v>466</v>
      </c>
      <c r="P31" s="200" t="s">
        <v>764</v>
      </c>
      <c r="Q31" s="200">
        <f>Q30</f>
        <v>205</v>
      </c>
      <c r="R31" s="200" t="s">
        <v>764</v>
      </c>
      <c r="S31" s="200">
        <f>S30</f>
        <v>14</v>
      </c>
      <c r="T31" s="200" t="s">
        <v>764</v>
      </c>
      <c r="U31" s="201">
        <f>U30</f>
        <v>22</v>
      </c>
      <c r="W31" s="114">
        <v>20</v>
      </c>
      <c r="X31" s="175">
        <v>80</v>
      </c>
      <c r="Y31" s="175">
        <f t="shared" si="17"/>
        <v>1600</v>
      </c>
    </row>
    <row r="32" spans="4:25">
      <c r="J32" s="175" t="s">
        <v>847</v>
      </c>
      <c r="K32" s="188">
        <f t="shared" si="13"/>
        <v>200.20000000000002</v>
      </c>
      <c r="L32" s="188">
        <f t="shared" si="14"/>
        <v>220.22000000000003</v>
      </c>
      <c r="M32" s="188">
        <f t="shared" si="15"/>
        <v>164.14643243301941</v>
      </c>
      <c r="N32" s="188">
        <f t="shared" si="16"/>
        <v>3126.5987130098952</v>
      </c>
      <c r="O32" s="199">
        <f>E38</f>
        <v>440</v>
      </c>
      <c r="P32" s="200" t="s">
        <v>764</v>
      </c>
      <c r="Q32" s="200">
        <f>E39</f>
        <v>300</v>
      </c>
      <c r="R32" s="200" t="s">
        <v>764</v>
      </c>
      <c r="S32" s="200">
        <f>E40</f>
        <v>11</v>
      </c>
      <c r="T32" s="200" t="s">
        <v>764</v>
      </c>
      <c r="U32" s="201">
        <f>E41</f>
        <v>18</v>
      </c>
      <c r="W32" s="114">
        <v>20</v>
      </c>
      <c r="X32" s="175">
        <v>100</v>
      </c>
      <c r="Y32" s="175">
        <f t="shared" si="17"/>
        <v>2000</v>
      </c>
    </row>
    <row r="33" spans="1:25">
      <c r="J33" s="175" t="s">
        <v>846</v>
      </c>
      <c r="K33" s="150">
        <f t="shared" si="13"/>
        <v>200.20000000000002</v>
      </c>
      <c r="L33" s="150">
        <f t="shared" si="14"/>
        <v>220.22000000000003</v>
      </c>
      <c r="M33" s="150">
        <f t="shared" si="15"/>
        <v>164.14643243301941</v>
      </c>
      <c r="N33" s="150">
        <f t="shared" si="16"/>
        <v>3126.5987130098952</v>
      </c>
      <c r="O33" s="202">
        <f>O32</f>
        <v>440</v>
      </c>
      <c r="P33" s="203" t="s">
        <v>764</v>
      </c>
      <c r="Q33" s="203">
        <f>Q32</f>
        <v>300</v>
      </c>
      <c r="R33" s="203" t="s">
        <v>764</v>
      </c>
      <c r="S33" s="203">
        <f>S32</f>
        <v>11</v>
      </c>
      <c r="T33" s="203" t="s">
        <v>764</v>
      </c>
      <c r="U33" s="204">
        <f>U32</f>
        <v>18</v>
      </c>
      <c r="W33" s="114">
        <v>30</v>
      </c>
      <c r="X33" s="175">
        <v>80</v>
      </c>
      <c r="Y33" s="175">
        <f t="shared" si="17"/>
        <v>2400</v>
      </c>
    </row>
    <row r="34" spans="1:25">
      <c r="J34" s="175" t="s">
        <v>821</v>
      </c>
      <c r="K34" s="150">
        <f t="shared" si="13"/>
        <v>300.3</v>
      </c>
      <c r="L34" s="150">
        <f t="shared" si="14"/>
        <v>330.33000000000004</v>
      </c>
      <c r="M34" s="150">
        <f t="shared" si="15"/>
        <v>246.21964864952915</v>
      </c>
      <c r="N34" s="150">
        <f t="shared" si="16"/>
        <v>4689.8980695148448</v>
      </c>
      <c r="O34" s="202">
        <f>B38</f>
        <v>594</v>
      </c>
      <c r="P34" s="203" t="s">
        <v>764</v>
      </c>
      <c r="Q34" s="203">
        <f>B39</f>
        <v>302</v>
      </c>
      <c r="R34" s="203" t="s">
        <v>764</v>
      </c>
      <c r="S34" s="203">
        <f>B40</f>
        <v>14</v>
      </c>
      <c r="T34" s="203" t="s">
        <v>764</v>
      </c>
      <c r="U34" s="204">
        <f>B41</f>
        <v>23</v>
      </c>
      <c r="W34" s="114">
        <v>30</v>
      </c>
      <c r="X34" s="175">
        <v>100</v>
      </c>
      <c r="Y34" s="175">
        <f t="shared" si="17"/>
        <v>3000</v>
      </c>
    </row>
    <row r="35" spans="1:25">
      <c r="J35" s="175" t="s">
        <v>848</v>
      </c>
      <c r="K35" s="150">
        <f t="shared" si="13"/>
        <v>300.3</v>
      </c>
      <c r="L35" s="150">
        <f t="shared" si="14"/>
        <v>330.33000000000004</v>
      </c>
      <c r="M35" s="150">
        <f t="shared" si="15"/>
        <v>246.21964864952915</v>
      </c>
      <c r="N35" s="150">
        <f t="shared" si="16"/>
        <v>4689.8980695148448</v>
      </c>
      <c r="O35" s="202">
        <f>O34</f>
        <v>594</v>
      </c>
      <c r="P35" s="203" t="s">
        <v>764</v>
      </c>
      <c r="Q35" s="203">
        <f>Q34</f>
        <v>302</v>
      </c>
      <c r="R35" s="203" t="s">
        <v>764</v>
      </c>
      <c r="S35" s="203">
        <f>S34</f>
        <v>14</v>
      </c>
      <c r="T35" s="203" t="s">
        <v>764</v>
      </c>
      <c r="U35" s="204">
        <f>U34</f>
        <v>23</v>
      </c>
      <c r="W35" s="114">
        <v>30</v>
      </c>
      <c r="X35" s="175">
        <v>120</v>
      </c>
      <c r="Y35" s="175">
        <f t="shared" si="17"/>
        <v>3600</v>
      </c>
    </row>
    <row r="36" spans="1:25" ht="16.5" thickBot="1">
      <c r="W36" s="151">
        <v>40</v>
      </c>
      <c r="X36" s="152">
        <v>100</v>
      </c>
      <c r="Y36" s="152">
        <f t="shared" si="17"/>
        <v>4000</v>
      </c>
    </row>
    <row r="37" spans="1:25">
      <c r="A37" s="248" t="s">
        <v>851</v>
      </c>
      <c r="B37" s="249"/>
      <c r="C37" s="250"/>
      <c r="D37" s="248" t="s">
        <v>852</v>
      </c>
      <c r="E37" s="249"/>
      <c r="F37" s="250"/>
      <c r="G37" s="248" t="s">
        <v>853</v>
      </c>
      <c r="H37" s="249"/>
      <c r="I37" s="250"/>
      <c r="K37" s="90"/>
      <c r="W37" s="114">
        <v>40</v>
      </c>
      <c r="X37" s="175">
        <v>120</v>
      </c>
      <c r="Y37" s="175">
        <f t="shared" si="17"/>
        <v>4800</v>
      </c>
    </row>
    <row r="38" spans="1:25">
      <c r="A38" s="157" t="s">
        <v>698</v>
      </c>
      <c r="B38" s="158">
        <v>594</v>
      </c>
      <c r="C38" s="159" t="s">
        <v>699</v>
      </c>
      <c r="D38" s="157" t="s">
        <v>698</v>
      </c>
      <c r="E38" s="158">
        <v>440</v>
      </c>
      <c r="F38" s="159" t="s">
        <v>699</v>
      </c>
      <c r="G38" s="157" t="s">
        <v>698</v>
      </c>
      <c r="H38" s="158">
        <v>466</v>
      </c>
      <c r="I38" s="159" t="s">
        <v>699</v>
      </c>
      <c r="W38" s="151">
        <v>40</v>
      </c>
      <c r="X38" s="152">
        <v>150</v>
      </c>
      <c r="Y38" s="152">
        <f t="shared" si="17"/>
        <v>6000</v>
      </c>
    </row>
    <row r="39" spans="1:25">
      <c r="A39" s="157" t="s">
        <v>700</v>
      </c>
      <c r="B39" s="158">
        <v>302</v>
      </c>
      <c r="C39" s="159" t="s">
        <v>699</v>
      </c>
      <c r="D39" s="157" t="s">
        <v>700</v>
      </c>
      <c r="E39" s="158">
        <v>300</v>
      </c>
      <c r="F39" s="159" t="s">
        <v>699</v>
      </c>
      <c r="G39" s="157" t="s">
        <v>700</v>
      </c>
      <c r="H39" s="158">
        <v>205</v>
      </c>
      <c r="I39" s="159" t="s">
        <v>699</v>
      </c>
      <c r="W39" s="114">
        <v>50</v>
      </c>
      <c r="X39" s="175">
        <v>130</v>
      </c>
      <c r="Y39" s="175">
        <f t="shared" si="17"/>
        <v>6500</v>
      </c>
    </row>
    <row r="40" spans="1:25">
      <c r="A40" s="157" t="s">
        <v>701</v>
      </c>
      <c r="B40" s="158">
        <v>14</v>
      </c>
      <c r="C40" s="159" t="s">
        <v>699</v>
      </c>
      <c r="D40" s="157" t="s">
        <v>701</v>
      </c>
      <c r="E40" s="158">
        <v>11</v>
      </c>
      <c r="F40" s="159" t="s">
        <v>699</v>
      </c>
      <c r="G40" s="157" t="s">
        <v>701</v>
      </c>
      <c r="H40" s="158">
        <v>14</v>
      </c>
      <c r="I40" s="159" t="s">
        <v>699</v>
      </c>
      <c r="W40" s="114">
        <v>50</v>
      </c>
      <c r="X40" s="175">
        <v>140</v>
      </c>
      <c r="Y40" s="175">
        <f t="shared" si="17"/>
        <v>7000</v>
      </c>
    </row>
    <row r="41" spans="1:25">
      <c r="A41" s="157" t="s">
        <v>702</v>
      </c>
      <c r="B41" s="158">
        <v>23</v>
      </c>
      <c r="C41" s="159" t="s">
        <v>699</v>
      </c>
      <c r="D41" s="157" t="s">
        <v>702</v>
      </c>
      <c r="E41" s="158">
        <v>18</v>
      </c>
      <c r="F41" s="159" t="s">
        <v>699</v>
      </c>
      <c r="G41" s="157" t="s">
        <v>702</v>
      </c>
      <c r="H41" s="158">
        <v>22</v>
      </c>
      <c r="I41" s="159" t="s">
        <v>699</v>
      </c>
      <c r="J41" s="197"/>
      <c r="W41" s="114">
        <v>50</v>
      </c>
      <c r="X41" s="175">
        <v>150</v>
      </c>
      <c r="Y41" s="175">
        <f t="shared" si="17"/>
        <v>7500</v>
      </c>
    </row>
    <row r="42" spans="1:25">
      <c r="A42" s="157" t="s">
        <v>703</v>
      </c>
      <c r="B42" s="62">
        <v>3.5</v>
      </c>
      <c r="C42" s="159" t="s">
        <v>718</v>
      </c>
      <c r="D42" s="157" t="s">
        <v>703</v>
      </c>
      <c r="E42" s="62">
        <v>3.5</v>
      </c>
      <c r="F42" s="159" t="s">
        <v>718</v>
      </c>
      <c r="G42" s="157" t="s">
        <v>703</v>
      </c>
      <c r="H42" s="62">
        <v>3.5</v>
      </c>
      <c r="I42" s="159" t="s">
        <v>718</v>
      </c>
      <c r="J42" s="62"/>
      <c r="W42" s="114">
        <v>60</v>
      </c>
      <c r="X42" s="175">
        <v>140</v>
      </c>
      <c r="Y42" s="175">
        <f t="shared" si="17"/>
        <v>8400</v>
      </c>
    </row>
    <row r="43" spans="1:25" ht="16.5">
      <c r="A43" s="160"/>
      <c r="B43" s="161"/>
      <c r="C43" s="162"/>
      <c r="D43" s="157"/>
      <c r="E43" s="62"/>
      <c r="F43" s="159"/>
      <c r="G43" s="157"/>
      <c r="H43" s="62"/>
      <c r="I43" s="159"/>
      <c r="J43" s="62"/>
      <c r="W43" s="114">
        <v>60</v>
      </c>
      <c r="X43" s="175">
        <v>150</v>
      </c>
      <c r="Y43" s="175">
        <f t="shared" si="17"/>
        <v>9000</v>
      </c>
    </row>
    <row r="44" spans="1:25" ht="16.5">
      <c r="A44" s="163" t="s">
        <v>704</v>
      </c>
      <c r="B44" s="161"/>
      <c r="C44" s="162"/>
      <c r="D44" s="163" t="s">
        <v>704</v>
      </c>
      <c r="E44" s="161"/>
      <c r="F44" s="162"/>
      <c r="G44" s="163" t="s">
        <v>704</v>
      </c>
      <c r="H44" s="161"/>
      <c r="I44" s="162"/>
      <c r="J44" s="62"/>
      <c r="W44" s="114">
        <v>60</v>
      </c>
      <c r="X44" s="175">
        <v>160</v>
      </c>
      <c r="Y44" s="175">
        <f t="shared" si="17"/>
        <v>9600</v>
      </c>
    </row>
    <row r="45" spans="1:25">
      <c r="A45" s="164" t="s">
        <v>705</v>
      </c>
      <c r="B45" s="175"/>
      <c r="C45" s="93"/>
      <c r="D45" s="164" t="s">
        <v>705</v>
      </c>
      <c r="E45" s="175"/>
      <c r="F45" s="93"/>
      <c r="G45" s="164" t="s">
        <v>705</v>
      </c>
      <c r="H45" s="175"/>
      <c r="I45" s="93"/>
      <c r="J45" s="62"/>
      <c r="W45" s="114">
        <v>70</v>
      </c>
      <c r="X45" s="175">
        <v>140</v>
      </c>
      <c r="Y45" s="175">
        <f t="shared" si="17"/>
        <v>9800</v>
      </c>
    </row>
    <row r="46" spans="1:25" ht="18">
      <c r="A46" s="164" t="s">
        <v>707</v>
      </c>
      <c r="B46" s="175">
        <f>B39*B41*2+(B38-B41-B41)*B40</f>
        <v>21564</v>
      </c>
      <c r="C46" s="93" t="s">
        <v>708</v>
      </c>
      <c r="D46" s="164" t="s">
        <v>707</v>
      </c>
      <c r="E46" s="175">
        <f>E39*E41*2+(E38-E41-E41)*E40</f>
        <v>15244</v>
      </c>
      <c r="F46" s="93" t="s">
        <v>708</v>
      </c>
      <c r="G46" s="164" t="s">
        <v>707</v>
      </c>
      <c r="H46" s="175">
        <f>H39*H41*2+(H38-H41-H41)*H40</f>
        <v>14928</v>
      </c>
      <c r="I46" s="93" t="s">
        <v>708</v>
      </c>
      <c r="J46" s="62"/>
      <c r="W46" s="114">
        <v>70</v>
      </c>
      <c r="X46" s="175">
        <v>150</v>
      </c>
      <c r="Y46" s="175">
        <f t="shared" si="17"/>
        <v>10500</v>
      </c>
    </row>
    <row r="47" spans="1:25" ht="18">
      <c r="A47" s="164" t="s">
        <v>709</v>
      </c>
      <c r="B47" s="175">
        <f>(B40*(B38-B41-B41)^3)/12+2*(B39*B41*B41*B41/12+B39*B41*(B38*0.5-0.5*B41)^2)</f>
        <v>1324947156</v>
      </c>
      <c r="C47" s="93" t="s">
        <v>710</v>
      </c>
      <c r="D47" s="164" t="s">
        <v>709</v>
      </c>
      <c r="E47" s="175">
        <f>(E40*(E38-E41-E41)^3)/12+2*(E39*E41*E41*E41/12+E39*E41*(E38*0.5-0.5*E41)^2)</f>
        <v>541562725.33333337</v>
      </c>
      <c r="F47" s="93" t="s">
        <v>710</v>
      </c>
      <c r="G47" s="164" t="s">
        <v>709</v>
      </c>
      <c r="H47" s="175">
        <f>(H40*(H38-H41-H41)^3)/12+2*(H39*H41*H41*H41/12+H39*H41*(H38*0.5-0.5*H41)^2)</f>
        <v>532582176</v>
      </c>
      <c r="I47" s="93" t="s">
        <v>710</v>
      </c>
      <c r="J47" s="62"/>
      <c r="W47" s="114">
        <v>70</v>
      </c>
      <c r="X47" s="175">
        <v>160</v>
      </c>
      <c r="Y47" s="175">
        <f t="shared" si="17"/>
        <v>11200</v>
      </c>
    </row>
    <row r="48" spans="1:25" ht="18">
      <c r="A48" s="164" t="s">
        <v>711</v>
      </c>
      <c r="B48" s="175">
        <f>(B38-B41-B41)*B40*B40*B40/12+B41*B39*B39*B39*2/12</f>
        <v>105709140</v>
      </c>
      <c r="C48" s="93" t="s">
        <v>710</v>
      </c>
      <c r="D48" s="164" t="s">
        <v>711</v>
      </c>
      <c r="E48" s="175">
        <f>(E38-E41-E41)*E40*E40*E40/12+E41*E39*E39*E39*2/12</f>
        <v>81044810.333333328</v>
      </c>
      <c r="F48" s="93" t="s">
        <v>710</v>
      </c>
      <c r="G48" s="164" t="s">
        <v>711</v>
      </c>
      <c r="H48" s="175">
        <f>(H38-H41-H41)*H40*H40*H40/12+H41*H39*H39*H39*2/12</f>
        <v>31685289</v>
      </c>
      <c r="I48" s="93" t="s">
        <v>710</v>
      </c>
      <c r="J48" s="161"/>
      <c r="W48" s="114">
        <v>80</v>
      </c>
      <c r="X48" s="175">
        <v>160</v>
      </c>
      <c r="Y48" s="175">
        <f t="shared" si="17"/>
        <v>12800</v>
      </c>
    </row>
    <row r="49" spans="1:25" ht="18">
      <c r="A49" s="164" t="s">
        <v>712</v>
      </c>
      <c r="B49" s="175">
        <f>(B38-B41-B41)*B40*B40*B40/3+B39*B41*B41*B41/3*2</f>
        <v>2950860</v>
      </c>
      <c r="C49" s="93" t="s">
        <v>710</v>
      </c>
      <c r="D49" s="164" t="s">
        <v>712</v>
      </c>
      <c r="E49" s="175">
        <f>(E38-E41-E41)*E40*E40*E40/3+E39*E41*E41*E41/3*2</f>
        <v>1345641.3333333333</v>
      </c>
      <c r="F49" s="93" t="s">
        <v>710</v>
      </c>
      <c r="G49" s="164" t="s">
        <v>712</v>
      </c>
      <c r="H49" s="175">
        <f>(H38-H41-H41)*H40*H40*H40/3+H39*H41*H41*H41/3*2</f>
        <v>1841216</v>
      </c>
      <c r="I49" s="93" t="s">
        <v>710</v>
      </c>
      <c r="J49" s="62"/>
      <c r="W49" s="114">
        <v>80</v>
      </c>
      <c r="X49" s="175">
        <v>180</v>
      </c>
      <c r="Y49" s="175">
        <f t="shared" si="17"/>
        <v>14400</v>
      </c>
    </row>
    <row r="50" spans="1:25" ht="18">
      <c r="A50" s="164" t="s">
        <v>713</v>
      </c>
      <c r="B50" s="175">
        <f>B47/(B38/2)</f>
        <v>4461101.5353535358</v>
      </c>
      <c r="C50" s="93" t="s">
        <v>714</v>
      </c>
      <c r="D50" s="164" t="s">
        <v>713</v>
      </c>
      <c r="E50" s="175">
        <f>E47/(E38/2)</f>
        <v>2461648.7515151515</v>
      </c>
      <c r="F50" s="93" t="s">
        <v>714</v>
      </c>
      <c r="G50" s="164" t="s">
        <v>713</v>
      </c>
      <c r="H50" s="175">
        <f>H47/(H38/2)</f>
        <v>2285760.4120171675</v>
      </c>
      <c r="I50" s="93" t="s">
        <v>714</v>
      </c>
      <c r="J50" s="62"/>
      <c r="W50" s="114">
        <v>80</v>
      </c>
      <c r="X50" s="175">
        <v>200</v>
      </c>
      <c r="Y50" s="175">
        <f t="shared" si="17"/>
        <v>16000</v>
      </c>
    </row>
    <row r="51" spans="1:25" ht="18">
      <c r="A51" s="164" t="s">
        <v>715</v>
      </c>
      <c r="B51" s="175">
        <f>B48/(B39/2)</f>
        <v>700060.52980132448</v>
      </c>
      <c r="C51" s="93" t="s">
        <v>714</v>
      </c>
      <c r="D51" s="164" t="s">
        <v>715</v>
      </c>
      <c r="E51" s="175">
        <f>E48/(E39/2)</f>
        <v>540298.73555555556</v>
      </c>
      <c r="F51" s="93" t="s">
        <v>714</v>
      </c>
      <c r="G51" s="164" t="s">
        <v>715</v>
      </c>
      <c r="H51" s="175">
        <f>H48/(H39/2)</f>
        <v>309124.77073170734</v>
      </c>
      <c r="I51" s="93" t="s">
        <v>714</v>
      </c>
      <c r="J51" s="62"/>
      <c r="W51" s="114">
        <v>90</v>
      </c>
      <c r="X51" s="175">
        <v>200</v>
      </c>
      <c r="Y51" s="175">
        <f t="shared" si="17"/>
        <v>18000</v>
      </c>
    </row>
    <row r="52" spans="1:25" ht="18">
      <c r="A52" s="164" t="s">
        <v>716</v>
      </c>
      <c r="B52" s="175">
        <f>B39*B38*B38*0.25-(B39-B40)*((B38-2*B41)^2)*0.25</f>
        <v>5017230</v>
      </c>
      <c r="C52" s="93" t="s">
        <v>714</v>
      </c>
      <c r="D52" s="164" t="s">
        <v>716</v>
      </c>
      <c r="E52" s="175">
        <f>E39*E38*E38*0.25-(E39-E40)*(E38-2*E41)^2*0.25</f>
        <v>2727644</v>
      </c>
      <c r="F52" s="93" t="s">
        <v>714</v>
      </c>
      <c r="G52" s="164" t="s">
        <v>716</v>
      </c>
      <c r="H52" s="175">
        <f>H39*H38*H38*0.25-(H39-H40)*(H38-2*H41)^2*0.25</f>
        <v>2625734</v>
      </c>
      <c r="I52" s="93" t="s">
        <v>714</v>
      </c>
      <c r="J52" s="62"/>
      <c r="W52" s="114">
        <v>90</v>
      </c>
      <c r="X52" s="175">
        <v>220</v>
      </c>
      <c r="Y52" s="175">
        <f t="shared" si="17"/>
        <v>19800</v>
      </c>
    </row>
    <row r="53" spans="1:25" ht="18.75" thickBot="1">
      <c r="A53" s="166" t="s">
        <v>717</v>
      </c>
      <c r="B53" s="146">
        <f>B41*B39*B39*0.25*2+(B38-2*B41)*B40*B40*0.25</f>
        <v>1075698</v>
      </c>
      <c r="C53" s="167" t="s">
        <v>714</v>
      </c>
      <c r="D53" s="166" t="s">
        <v>717</v>
      </c>
      <c r="E53" s="146">
        <f>E41*E39*E39*0.25*2+(E38-2*E41)*E40*E40*0.25</f>
        <v>822221</v>
      </c>
      <c r="F53" s="167" t="s">
        <v>714</v>
      </c>
      <c r="G53" s="166" t="s">
        <v>717</v>
      </c>
      <c r="H53" s="146">
        <f>H41*H39*H39*0.25*2+(H38-2*H41)*H40*H40*0.25</f>
        <v>482953</v>
      </c>
      <c r="I53" s="167" t="s">
        <v>714</v>
      </c>
      <c r="J53" s="62"/>
      <c r="L53" s="173" t="s">
        <v>783</v>
      </c>
      <c r="W53" s="114">
        <v>90</v>
      </c>
      <c r="X53" s="175">
        <v>240</v>
      </c>
      <c r="Y53" s="175">
        <f t="shared" si="17"/>
        <v>21600</v>
      </c>
    </row>
    <row r="54" spans="1:25" ht="18.75">
      <c r="A54" s="168" t="s">
        <v>719</v>
      </c>
      <c r="B54" s="169">
        <f>B52*B42/1000</f>
        <v>17560.305</v>
      </c>
      <c r="C54" s="99" t="s">
        <v>721</v>
      </c>
      <c r="D54" s="168" t="s">
        <v>719</v>
      </c>
      <c r="E54" s="169">
        <f>E52*E42/1000</f>
        <v>9546.7540000000008</v>
      </c>
      <c r="F54" s="99" t="s">
        <v>721</v>
      </c>
      <c r="G54" s="168" t="s">
        <v>719</v>
      </c>
      <c r="H54" s="169">
        <f>H52*H42/1000</f>
        <v>9190.0689999999995</v>
      </c>
      <c r="I54" s="99" t="s">
        <v>721</v>
      </c>
      <c r="J54" s="62"/>
      <c r="L54" s="175" t="s">
        <v>731</v>
      </c>
      <c r="M54" s="175" t="s">
        <v>747</v>
      </c>
      <c r="N54" s="175" t="s">
        <v>745</v>
      </c>
      <c r="O54" s="175" t="s">
        <v>746</v>
      </c>
      <c r="P54" s="175" t="s">
        <v>744</v>
      </c>
    </row>
    <row r="55" spans="1:25" ht="16.5" thickBot="1">
      <c r="A55" s="165" t="s">
        <v>720</v>
      </c>
      <c r="B55" s="94">
        <f>0.6*(B38-B41-B41)*B40*B42/10/10</f>
        <v>161.11199999999999</v>
      </c>
      <c r="C55" s="95" t="s">
        <v>722</v>
      </c>
      <c r="D55" s="165" t="s">
        <v>720</v>
      </c>
      <c r="E55" s="94">
        <f>0.6*(E38-E41-E41)*E40*E42/10/10</f>
        <v>93.323999999999984</v>
      </c>
      <c r="F55" s="95" t="s">
        <v>722</v>
      </c>
      <c r="G55" s="165" t="s">
        <v>720</v>
      </c>
      <c r="H55" s="94">
        <f>0.6*(H38-H41-H41)*H40*H42/10/10</f>
        <v>124.06799999999998</v>
      </c>
      <c r="I55" s="95" t="s">
        <v>722</v>
      </c>
      <c r="J55" s="62"/>
      <c r="K55" s="177" t="str">
        <f t="shared" ref="K55:K60" si="18">IF(P55&lt;1,"OK","NG")</f>
        <v>OK</v>
      </c>
      <c r="L55" s="175" t="s">
        <v>834</v>
      </c>
      <c r="M55" s="175">
        <f>0.7*425/SQRT((H48/10000)/(H46/100))*SQRT(3.52/2039/PI()/PI())</f>
        <v>0.85402737755967695</v>
      </c>
      <c r="N55" s="175">
        <f>IF(M55&lt;=1.5,(0.658^(M55*M55))*3.52*H46/100,0.877/M55/M55*3.52*H46/100)</f>
        <v>387.2264597754122</v>
      </c>
      <c r="O55" s="175">
        <f>IF(AND(H56&lt;H58,H59&lt;H61),H54,0)</f>
        <v>9190.0689999999995</v>
      </c>
      <c r="P55" s="150">
        <f t="shared" ref="P55:P60" si="19">IF(M30/(0.85*N55)&gt;=0.2,M30/(0.85*N55)+8*N30/(9*0.9*O55),M30/(0.85*N55)+N30/(0.9*O55))</f>
        <v>0.7512516748940361</v>
      </c>
      <c r="Q55" s="177" t="str">
        <f t="shared" ref="Q55:Q60" si="20">K55</f>
        <v>OK</v>
      </c>
    </row>
    <row r="56" spans="1:25">
      <c r="A56" s="168" t="s">
        <v>748</v>
      </c>
      <c r="B56" s="169">
        <f>B39*0.5/B41</f>
        <v>6.5652173913043477</v>
      </c>
      <c r="C56" s="169"/>
      <c r="D56" s="169" t="s">
        <v>748</v>
      </c>
      <c r="E56" s="169">
        <f>E39*0.5/E41</f>
        <v>8.3333333333333339</v>
      </c>
      <c r="F56" s="99"/>
      <c r="G56" s="169" t="s">
        <v>748</v>
      </c>
      <c r="H56" s="169">
        <f>H39*0.5/H41</f>
        <v>4.6590909090909092</v>
      </c>
      <c r="I56" s="99"/>
      <c r="J56" s="62"/>
      <c r="K56" s="177" t="str">
        <f t="shared" si="18"/>
        <v>OK</v>
      </c>
      <c r="L56" s="175" t="s">
        <v>831</v>
      </c>
      <c r="M56" s="175">
        <f>0.7*425/SQRT((H48/10000)/(H46/100))*SQRT(3.52/2039/PI()/PI())</f>
        <v>0.85402737755967695</v>
      </c>
      <c r="N56" s="175">
        <f>IF(M56&lt;=1.5,(0.658^(M56*M56))*3.52*H46/100,0.877/M56/M56*3.52*H46/100)</f>
        <v>387.2264597754122</v>
      </c>
      <c r="O56" s="175">
        <f>IF(AND(H56&lt;H58,H59&lt;H61),H54,0)</f>
        <v>9190.0689999999995</v>
      </c>
      <c r="P56" s="150">
        <f t="shared" si="19"/>
        <v>0.7512516748940361</v>
      </c>
      <c r="Q56" s="177" t="str">
        <f t="shared" si="20"/>
        <v>OK</v>
      </c>
    </row>
    <row r="57" spans="1:25">
      <c r="A57" s="164" t="s">
        <v>749</v>
      </c>
      <c r="B57" s="175">
        <f>25/SQRT(B42)</f>
        <v>13.363062095621219</v>
      </c>
      <c r="C57" s="175"/>
      <c r="D57" s="175" t="s">
        <v>749</v>
      </c>
      <c r="E57" s="175">
        <f>25/SQRT(E42)</f>
        <v>13.363062095621219</v>
      </c>
      <c r="F57" s="93"/>
      <c r="G57" s="175" t="s">
        <v>749</v>
      </c>
      <c r="H57" s="175">
        <f>25/SQRT(H42)</f>
        <v>13.363062095621219</v>
      </c>
      <c r="I57" s="93"/>
      <c r="J57" s="62"/>
      <c r="K57" s="177" t="str">
        <f t="shared" si="18"/>
        <v>OK</v>
      </c>
      <c r="L57" s="175" t="s">
        <v>847</v>
      </c>
      <c r="M57" s="150">
        <f>0.7*425/SQRT((E48/10000)/(E46/100))*SQRT(3.52/2039/PI()/PI())</f>
        <v>0.53961831458436582</v>
      </c>
      <c r="N57" s="150">
        <f>IF(M57&lt;=1.5,(0.658^(M57*M57))*3.52*E46/100,0.877/M57/M57*3.52*E46/100)</f>
        <v>475.01921611315868</v>
      </c>
      <c r="O57" s="150">
        <f>IF(AND(E56&lt;E58,E59&lt;E61),E54,0)</f>
        <v>9546.7540000000008</v>
      </c>
      <c r="P57" s="150">
        <f t="shared" si="19"/>
        <v>0.72999877989368378</v>
      </c>
      <c r="Q57" s="177" t="str">
        <f t="shared" si="20"/>
        <v>OK</v>
      </c>
    </row>
    <row r="58" spans="1:25">
      <c r="A58" s="164" t="s">
        <v>750</v>
      </c>
      <c r="B58" s="175">
        <f>16/SQRT(B42)</f>
        <v>8.5523597411975807</v>
      </c>
      <c r="C58" s="175"/>
      <c r="D58" s="175" t="s">
        <v>750</v>
      </c>
      <c r="E58" s="175">
        <f>16/SQRT(E42)</f>
        <v>8.5523597411975807</v>
      </c>
      <c r="F58" s="93"/>
      <c r="G58" s="175" t="s">
        <v>750</v>
      </c>
      <c r="H58" s="175">
        <f>16/SQRT(H42)</f>
        <v>8.5523597411975807</v>
      </c>
      <c r="I58" s="93"/>
      <c r="J58" s="62"/>
      <c r="K58" s="177" t="str">
        <f t="shared" si="18"/>
        <v>OK</v>
      </c>
      <c r="L58" s="175" t="s">
        <v>846</v>
      </c>
      <c r="M58" s="150">
        <f>0.7*425/SQRT((E48/10000)/(E46/100))*SQRT(3.52/2039/PI()/PI())</f>
        <v>0.53961831458436582</v>
      </c>
      <c r="N58" s="150">
        <f>IF(M58&lt;=1.5,(0.658^(M58*M58))*3.52*E46/100,0.877/M58/M58*3.52*E46/100)</f>
        <v>475.01921611315868</v>
      </c>
      <c r="O58" s="150">
        <f>IF(AND(E56&lt;E58,E59&lt;E61),E54,0)</f>
        <v>9546.7540000000008</v>
      </c>
      <c r="P58" s="150">
        <f t="shared" si="19"/>
        <v>0.72999877989368378</v>
      </c>
      <c r="Q58" s="177" t="str">
        <f t="shared" si="20"/>
        <v>OK</v>
      </c>
    </row>
    <row r="59" spans="1:25">
      <c r="A59" s="164" t="s">
        <v>751</v>
      </c>
      <c r="B59" s="175">
        <f>(B38-B41-B41)/B40</f>
        <v>39.142857142857146</v>
      </c>
      <c r="C59" s="175"/>
      <c r="D59" s="175" t="s">
        <v>751</v>
      </c>
      <c r="E59" s="175">
        <f>(E38-E41-E41)/E40</f>
        <v>36.727272727272727</v>
      </c>
      <c r="F59" s="93"/>
      <c r="G59" s="175" t="s">
        <v>751</v>
      </c>
      <c r="H59" s="175">
        <f>(H38-H41-H41)/H40</f>
        <v>30.142857142857142</v>
      </c>
      <c r="I59" s="93"/>
      <c r="J59" s="62"/>
      <c r="K59" s="177" t="str">
        <f t="shared" si="18"/>
        <v>OK</v>
      </c>
      <c r="L59" s="175" t="s">
        <v>821</v>
      </c>
      <c r="M59" s="150">
        <f>0.7*425/SQRT((B48/10000)/(B46/100))*SQRT(3.52/2039/PI()/PI())</f>
        <v>0.56196362848019576</v>
      </c>
      <c r="N59" s="150">
        <f>IF(M59&lt;=1.5,(0.658^(M59*M59))*3.52*B46/100,0.877/M59/M59*3.52*B46/100)</f>
        <v>665.06969164932161</v>
      </c>
      <c r="O59" s="150">
        <f>IF(AND(B56&lt;B58,B59&lt;B61),B54,0)</f>
        <v>17560.305</v>
      </c>
      <c r="P59" s="150">
        <f t="shared" si="19"/>
        <v>0.6993252337422009</v>
      </c>
      <c r="Q59" s="177" t="str">
        <f t="shared" si="20"/>
        <v>OK</v>
      </c>
    </row>
    <row r="60" spans="1:25">
      <c r="A60" s="164" t="s">
        <v>752</v>
      </c>
      <c r="B60" s="175">
        <f>260/SQRT(B42)</f>
        <v>138.9758457944607</v>
      </c>
      <c r="C60" s="175"/>
      <c r="D60" s="175" t="s">
        <v>752</v>
      </c>
      <c r="E60" s="175">
        <f>260/SQRT(E42)</f>
        <v>138.9758457944607</v>
      </c>
      <c r="F60" s="93"/>
      <c r="G60" s="175" t="s">
        <v>752</v>
      </c>
      <c r="H60" s="175">
        <f>260/SQRT(H42)</f>
        <v>138.9758457944607</v>
      </c>
      <c r="I60" s="93"/>
      <c r="J60" s="62"/>
      <c r="K60" s="177" t="str">
        <f t="shared" si="18"/>
        <v>OK</v>
      </c>
      <c r="L60" s="175" t="s">
        <v>848</v>
      </c>
      <c r="M60" s="150">
        <f>0.7*425/SQRT((B48/10000)/(B46/100))*SQRT(3.52/2039/PI()/PI())</f>
        <v>0.56196362848019576</v>
      </c>
      <c r="N60" s="150">
        <f>IF(M60&lt;=1.5,(0.658^(M60*M60))*3.52*B46/100,0.877/M60/M60*3.52*B46/100)</f>
        <v>665.06969164932161</v>
      </c>
      <c r="O60" s="150">
        <f>IF(AND(B56&lt;B58,B59&lt;B61),B54,0)</f>
        <v>17560.305</v>
      </c>
      <c r="P60" s="150">
        <f t="shared" si="19"/>
        <v>0.6993252337422009</v>
      </c>
      <c r="Q60" s="177" t="str">
        <f t="shared" si="20"/>
        <v>OK</v>
      </c>
    </row>
    <row r="61" spans="1:25" ht="16.5" thickBot="1">
      <c r="A61" s="165" t="s">
        <v>753</v>
      </c>
      <c r="B61" s="94">
        <f>170/SQRT(B42)</f>
        <v>90.868822250224298</v>
      </c>
      <c r="C61" s="94"/>
      <c r="D61" s="94" t="s">
        <v>753</v>
      </c>
      <c r="E61" s="94">
        <f>170/SQRT(E42)</f>
        <v>90.868822250224298</v>
      </c>
      <c r="F61" s="95"/>
      <c r="G61" s="94" t="s">
        <v>753</v>
      </c>
      <c r="H61" s="94">
        <f>170/SQRT(H42)</f>
        <v>90.868822250224298</v>
      </c>
      <c r="I61" s="95"/>
      <c r="J61" s="62"/>
    </row>
    <row r="62" spans="1:25">
      <c r="J62" s="62"/>
    </row>
    <row r="63" spans="1:25" ht="16.5" thickBot="1">
      <c r="J63" s="62"/>
    </row>
    <row r="64" spans="1:25">
      <c r="A64" s="248" t="s">
        <v>844</v>
      </c>
      <c r="B64" s="249"/>
      <c r="C64" s="250"/>
      <c r="D64" s="248" t="s">
        <v>849</v>
      </c>
      <c r="E64" s="249"/>
      <c r="F64" s="250"/>
      <c r="G64" s="248" t="s">
        <v>850</v>
      </c>
      <c r="H64" s="249"/>
      <c r="I64" s="250"/>
      <c r="J64" s="62"/>
    </row>
    <row r="65" spans="1:24">
      <c r="A65" s="157" t="s">
        <v>698</v>
      </c>
      <c r="B65" s="158">
        <v>808</v>
      </c>
      <c r="C65" s="159" t="s">
        <v>699</v>
      </c>
      <c r="D65" s="157" t="s">
        <v>698</v>
      </c>
      <c r="E65" s="158">
        <v>440</v>
      </c>
      <c r="F65" s="159" t="s">
        <v>699</v>
      </c>
      <c r="G65" s="157" t="s">
        <v>698</v>
      </c>
      <c r="H65" s="158">
        <v>478</v>
      </c>
      <c r="I65" s="159" t="s">
        <v>699</v>
      </c>
      <c r="J65" s="62"/>
    </row>
    <row r="66" spans="1:24">
      <c r="A66" s="157" t="s">
        <v>700</v>
      </c>
      <c r="B66" s="158">
        <v>304</v>
      </c>
      <c r="C66" s="159" t="s">
        <v>699</v>
      </c>
      <c r="D66" s="157" t="s">
        <v>700</v>
      </c>
      <c r="E66" s="158">
        <v>300</v>
      </c>
      <c r="F66" s="159" t="s">
        <v>699</v>
      </c>
      <c r="G66" s="157" t="s">
        <v>700</v>
      </c>
      <c r="H66" s="158">
        <v>208</v>
      </c>
      <c r="I66" s="159" t="s">
        <v>699</v>
      </c>
    </row>
    <row r="67" spans="1:24">
      <c r="A67" s="157" t="s">
        <v>701</v>
      </c>
      <c r="B67" s="158">
        <v>18</v>
      </c>
      <c r="C67" s="159" t="s">
        <v>699</v>
      </c>
      <c r="D67" s="157" t="s">
        <v>701</v>
      </c>
      <c r="E67" s="158">
        <v>11</v>
      </c>
      <c r="F67" s="159" t="s">
        <v>699</v>
      </c>
      <c r="G67" s="157" t="s">
        <v>701</v>
      </c>
      <c r="H67" s="158">
        <v>17</v>
      </c>
      <c r="I67" s="159" t="s">
        <v>699</v>
      </c>
    </row>
    <row r="68" spans="1:24">
      <c r="A68" s="157" t="s">
        <v>702</v>
      </c>
      <c r="B68" s="158">
        <v>30</v>
      </c>
      <c r="C68" s="159" t="s">
        <v>699</v>
      </c>
      <c r="D68" s="157" t="s">
        <v>702</v>
      </c>
      <c r="E68" s="158">
        <v>18</v>
      </c>
      <c r="F68" s="159" t="s">
        <v>699</v>
      </c>
      <c r="G68" s="157" t="s">
        <v>702</v>
      </c>
      <c r="H68" s="158">
        <v>28</v>
      </c>
      <c r="I68" s="159" t="s">
        <v>699</v>
      </c>
      <c r="J68" s="197"/>
    </row>
    <row r="69" spans="1:24">
      <c r="A69" s="157" t="s">
        <v>703</v>
      </c>
      <c r="B69" s="62">
        <v>3.5</v>
      </c>
      <c r="C69" s="159" t="s">
        <v>718</v>
      </c>
      <c r="D69" s="157" t="s">
        <v>703</v>
      </c>
      <c r="E69" s="62">
        <v>3.5</v>
      </c>
      <c r="F69" s="159" t="s">
        <v>718</v>
      </c>
      <c r="G69" s="157" t="s">
        <v>703</v>
      </c>
      <c r="H69" s="62">
        <v>3.5</v>
      </c>
      <c r="I69" s="159" t="s">
        <v>718</v>
      </c>
      <c r="J69" s="62"/>
    </row>
    <row r="70" spans="1:24" ht="16.5">
      <c r="A70" s="160"/>
      <c r="B70" s="161"/>
      <c r="C70" s="162"/>
      <c r="D70" s="157"/>
      <c r="E70" s="62"/>
      <c r="F70" s="159"/>
      <c r="G70" s="157"/>
      <c r="H70" s="62"/>
      <c r="I70" s="159"/>
      <c r="J70" s="62"/>
    </row>
    <row r="71" spans="1:24" ht="16.5">
      <c r="A71" s="163" t="s">
        <v>704</v>
      </c>
      <c r="B71" s="161"/>
      <c r="C71" s="162"/>
      <c r="D71" s="163" t="s">
        <v>704</v>
      </c>
      <c r="E71" s="161"/>
      <c r="F71" s="162"/>
      <c r="G71" s="163" t="s">
        <v>704</v>
      </c>
      <c r="H71" s="161"/>
      <c r="I71" s="162"/>
      <c r="J71" s="62"/>
      <c r="N71" s="173" t="s">
        <v>785</v>
      </c>
    </row>
    <row r="72" spans="1:24" ht="63">
      <c r="A72" s="164" t="s">
        <v>705</v>
      </c>
      <c r="B72" s="175"/>
      <c r="C72" s="93"/>
      <c r="D72" s="164" t="s">
        <v>705</v>
      </c>
      <c r="E72" s="175"/>
      <c r="F72" s="93"/>
      <c r="G72" s="164" t="s">
        <v>705</v>
      </c>
      <c r="H72" s="175"/>
      <c r="I72" s="93"/>
      <c r="J72" s="62"/>
      <c r="N72" s="186" t="s">
        <v>762</v>
      </c>
      <c r="O72" s="175" t="s">
        <v>777</v>
      </c>
      <c r="P72" s="175" t="s">
        <v>779</v>
      </c>
      <c r="Q72" s="149" t="s">
        <v>786</v>
      </c>
      <c r="R72" s="252" t="s">
        <v>763</v>
      </c>
      <c r="S72" s="252"/>
      <c r="T72" s="252"/>
      <c r="U72" s="252"/>
      <c r="V72" s="252"/>
      <c r="W72" s="252"/>
      <c r="X72" s="252"/>
    </row>
    <row r="73" spans="1:24" ht="18">
      <c r="A73" s="164" t="s">
        <v>707</v>
      </c>
      <c r="B73" s="175">
        <f>B66*B68*2+(B65-B68-B68)*B67</f>
        <v>31704</v>
      </c>
      <c r="C73" s="93" t="s">
        <v>708</v>
      </c>
      <c r="D73" s="164" t="s">
        <v>707</v>
      </c>
      <c r="E73" s="175">
        <f>E66*E68*2+(E65-E68-E68)*E67</f>
        <v>15244</v>
      </c>
      <c r="F73" s="93" t="s">
        <v>708</v>
      </c>
      <c r="G73" s="164" t="s">
        <v>707</v>
      </c>
      <c r="H73" s="175">
        <f>H66*H68*2+(H65-H68-H68)*H67</f>
        <v>18822</v>
      </c>
      <c r="I73" s="93" t="s">
        <v>708</v>
      </c>
      <c r="J73" s="62"/>
      <c r="N73" s="175" t="s">
        <v>834</v>
      </c>
      <c r="O73" s="150">
        <f t="shared" ref="O73:P75" si="21">K30</f>
        <v>180.18000000000004</v>
      </c>
      <c r="P73" s="150">
        <f t="shared" si="21"/>
        <v>198.19800000000006</v>
      </c>
      <c r="Q73" s="149">
        <v>0</v>
      </c>
      <c r="R73" s="199">
        <f>H65</f>
        <v>478</v>
      </c>
      <c r="S73" s="200" t="s">
        <v>764</v>
      </c>
      <c r="T73" s="200">
        <f>H66</f>
        <v>208</v>
      </c>
      <c r="U73" s="200" t="s">
        <v>764</v>
      </c>
      <c r="V73" s="200">
        <f>H67</f>
        <v>17</v>
      </c>
      <c r="W73" s="203" t="s">
        <v>764</v>
      </c>
      <c r="X73" s="201">
        <f>H68</f>
        <v>28</v>
      </c>
    </row>
    <row r="74" spans="1:24" ht="18">
      <c r="A74" s="164" t="s">
        <v>709</v>
      </c>
      <c r="B74" s="175">
        <f>(B67*(B65-B68-B68)^3)/12+2*(B66*B68*B68*B68/12+B66*B68*(B65*0.5-0.5*B68)^2)</f>
        <v>3389226528</v>
      </c>
      <c r="C74" s="93" t="s">
        <v>710</v>
      </c>
      <c r="D74" s="164" t="s">
        <v>709</v>
      </c>
      <c r="E74" s="175">
        <f>(E67*(E65-E68-E68)^3)/12+2*(E66*E68*E68*E68/12+E66*E68*(E65*0.5-0.5*E68)^2)</f>
        <v>541562725.33333337</v>
      </c>
      <c r="F74" s="93" t="s">
        <v>710</v>
      </c>
      <c r="G74" s="164" t="s">
        <v>709</v>
      </c>
      <c r="H74" s="175">
        <f>(H67*(H65-H68-H68)^3)/12+2*(H66*H68*H68*H68/12+H66*H68*(H65*0.5-0.5*H68)^2)</f>
        <v>696905554</v>
      </c>
      <c r="I74" s="93" t="s">
        <v>710</v>
      </c>
      <c r="J74" s="62"/>
      <c r="N74" s="175" t="s">
        <v>831</v>
      </c>
      <c r="O74" s="150">
        <f t="shared" si="21"/>
        <v>180.18000000000004</v>
      </c>
      <c r="P74" s="150">
        <f t="shared" si="21"/>
        <v>198.19800000000006</v>
      </c>
      <c r="Q74" s="150">
        <f>P73*SIN(G2)</f>
        <v>123.81330903519182</v>
      </c>
      <c r="R74" s="199">
        <f>R73</f>
        <v>478</v>
      </c>
      <c r="S74" s="200" t="s">
        <v>764</v>
      </c>
      <c r="T74" s="200">
        <f>T73</f>
        <v>208</v>
      </c>
      <c r="U74" s="200" t="s">
        <v>764</v>
      </c>
      <c r="V74" s="200">
        <f>V73</f>
        <v>17</v>
      </c>
      <c r="W74" s="203" t="s">
        <v>764</v>
      </c>
      <c r="X74" s="201">
        <f>X73</f>
        <v>28</v>
      </c>
    </row>
    <row r="75" spans="1:24" ht="18">
      <c r="A75" s="164" t="s">
        <v>711</v>
      </c>
      <c r="B75" s="175">
        <f>(B65-B68-B68)*B67*B67*B67/12+B68*B66*B66*B66*2/12</f>
        <v>140835848</v>
      </c>
      <c r="C75" s="93" t="s">
        <v>710</v>
      </c>
      <c r="D75" s="164" t="s">
        <v>711</v>
      </c>
      <c r="E75" s="175">
        <f>(E65-E68-E68)*E67*E67*E67/12+E68*E66*E66*E66*2/12</f>
        <v>81044810.333333328</v>
      </c>
      <c r="F75" s="93" t="s">
        <v>710</v>
      </c>
      <c r="G75" s="164" t="s">
        <v>711</v>
      </c>
      <c r="H75" s="175">
        <f>(H65-H68-H68)*H67*H67*H67/12+H68*H66*H66*H66*2/12</f>
        <v>42167696.5</v>
      </c>
      <c r="I75" s="93" t="s">
        <v>710</v>
      </c>
      <c r="J75" s="161"/>
      <c r="N75" s="175" t="s">
        <v>847</v>
      </c>
      <c r="O75" s="150">
        <f t="shared" si="21"/>
        <v>200.20000000000002</v>
      </c>
      <c r="P75" s="150">
        <f t="shared" si="21"/>
        <v>220.22000000000003</v>
      </c>
      <c r="Q75" s="150">
        <f>P74*SIN(G3)+Q74</f>
        <v>247.62661807038364</v>
      </c>
      <c r="R75" s="199">
        <f>E65</f>
        <v>440</v>
      </c>
      <c r="S75" s="200" t="s">
        <v>764</v>
      </c>
      <c r="T75" s="200">
        <f>E66</f>
        <v>300</v>
      </c>
      <c r="U75" s="200" t="s">
        <v>764</v>
      </c>
      <c r="V75" s="200">
        <f>E67</f>
        <v>11</v>
      </c>
      <c r="W75" s="203" t="s">
        <v>764</v>
      </c>
      <c r="X75" s="201">
        <f>E68</f>
        <v>18</v>
      </c>
    </row>
    <row r="76" spans="1:24" ht="18">
      <c r="A76" s="164" t="s">
        <v>712</v>
      </c>
      <c r="B76" s="175">
        <f>(B65-B68-B68)*B67*B67*B67/3+B66*B68*B68*B68/3*2</f>
        <v>6926112</v>
      </c>
      <c r="C76" s="93" t="s">
        <v>710</v>
      </c>
      <c r="D76" s="164" t="s">
        <v>712</v>
      </c>
      <c r="E76" s="175">
        <f>(E65-E68-E68)*E67*E67*E67/3+E66*E68*E68*E68/3*2</f>
        <v>1345641.3333333333</v>
      </c>
      <c r="F76" s="93" t="s">
        <v>710</v>
      </c>
      <c r="G76" s="164" t="s">
        <v>712</v>
      </c>
      <c r="H76" s="175">
        <f>(H65-H68-H68)*H67*H67*H67/3+H66*H68*H68*H68/3*2</f>
        <v>3735106</v>
      </c>
      <c r="I76" s="93" t="s">
        <v>710</v>
      </c>
      <c r="J76" s="62"/>
      <c r="N76" s="175" t="s">
        <v>846</v>
      </c>
      <c r="O76" s="150">
        <f t="shared" ref="O76:P78" si="22">K33</f>
        <v>200.20000000000002</v>
      </c>
      <c r="P76" s="150">
        <f t="shared" si="22"/>
        <v>220.22000000000003</v>
      </c>
      <c r="Q76" s="150">
        <f>P75*SIN(G4)+Q75</f>
        <v>385.19696144281897</v>
      </c>
      <c r="R76" s="202">
        <f>R75</f>
        <v>440</v>
      </c>
      <c r="S76" s="203" t="s">
        <v>764</v>
      </c>
      <c r="T76" s="203">
        <f>T75</f>
        <v>300</v>
      </c>
      <c r="U76" s="203" t="s">
        <v>764</v>
      </c>
      <c r="V76" s="203">
        <f>V75</f>
        <v>11</v>
      </c>
      <c r="W76" s="203" t="s">
        <v>764</v>
      </c>
      <c r="X76" s="204">
        <f>X75</f>
        <v>18</v>
      </c>
    </row>
    <row r="77" spans="1:24" ht="18">
      <c r="A77" s="164" t="s">
        <v>713</v>
      </c>
      <c r="B77" s="175">
        <f>B74/(B65/2)</f>
        <v>8389174.574257426</v>
      </c>
      <c r="C77" s="93" t="s">
        <v>714</v>
      </c>
      <c r="D77" s="164" t="s">
        <v>713</v>
      </c>
      <c r="E77" s="175">
        <f>E74/(E65/2)</f>
        <v>2461648.7515151515</v>
      </c>
      <c r="F77" s="93" t="s">
        <v>714</v>
      </c>
      <c r="G77" s="164" t="s">
        <v>713</v>
      </c>
      <c r="H77" s="175">
        <f>H74/(H65/2)</f>
        <v>2915922.820083682</v>
      </c>
      <c r="I77" s="93" t="s">
        <v>714</v>
      </c>
      <c r="J77" s="62"/>
      <c r="N77" s="175" t="s">
        <v>821</v>
      </c>
      <c r="O77" s="150">
        <f t="shared" si="22"/>
        <v>300.3</v>
      </c>
      <c r="P77" s="150">
        <f t="shared" si="22"/>
        <v>330.33000000000004</v>
      </c>
      <c r="Q77" s="150">
        <f>P76*SIN(G5)+Q76</f>
        <v>522.76730481525431</v>
      </c>
      <c r="R77" s="202">
        <f>B65</f>
        <v>808</v>
      </c>
      <c r="S77" s="203" t="s">
        <v>764</v>
      </c>
      <c r="T77" s="203">
        <f>B66</f>
        <v>304</v>
      </c>
      <c r="U77" s="203" t="s">
        <v>764</v>
      </c>
      <c r="V77" s="203">
        <f>B67</f>
        <v>18</v>
      </c>
      <c r="W77" s="203" t="s">
        <v>764</v>
      </c>
      <c r="X77" s="204">
        <f>B68</f>
        <v>30</v>
      </c>
    </row>
    <row r="78" spans="1:24" ht="18">
      <c r="A78" s="164" t="s">
        <v>715</v>
      </c>
      <c r="B78" s="175">
        <f>B75/(B66/2)</f>
        <v>926551.63157894742</v>
      </c>
      <c r="C78" s="93" t="s">
        <v>714</v>
      </c>
      <c r="D78" s="164" t="s">
        <v>715</v>
      </c>
      <c r="E78" s="175">
        <f>E75/(E66/2)</f>
        <v>540298.73555555556</v>
      </c>
      <c r="F78" s="93" t="s">
        <v>714</v>
      </c>
      <c r="G78" s="164" t="s">
        <v>715</v>
      </c>
      <c r="H78" s="175">
        <f>H75/(H66/2)</f>
        <v>405458.62019230769</v>
      </c>
      <c r="I78" s="93" t="s">
        <v>714</v>
      </c>
      <c r="J78" s="62"/>
      <c r="N78" s="175" t="s">
        <v>848</v>
      </c>
      <c r="O78" s="150">
        <f t="shared" si="22"/>
        <v>300.3</v>
      </c>
      <c r="P78" s="150">
        <f t="shared" si="22"/>
        <v>330.33000000000004</v>
      </c>
      <c r="Q78" s="150">
        <f>P77*SIN(G6)+Q77</f>
        <v>729.12281987390725</v>
      </c>
      <c r="R78" s="202">
        <f>R77</f>
        <v>808</v>
      </c>
      <c r="S78" s="203" t="s">
        <v>764</v>
      </c>
      <c r="T78" s="203">
        <f>T77</f>
        <v>304</v>
      </c>
      <c r="U78" s="203" t="s">
        <v>764</v>
      </c>
      <c r="V78" s="203">
        <f>V77</f>
        <v>18</v>
      </c>
      <c r="W78" s="203" t="s">
        <v>764</v>
      </c>
      <c r="X78" s="204">
        <f>X77</f>
        <v>30</v>
      </c>
    </row>
    <row r="79" spans="1:24" ht="18">
      <c r="A79" s="164" t="s">
        <v>716</v>
      </c>
      <c r="B79" s="175">
        <f>B66*B65*B65*0.25-(B66-B67)*((B65-2*B68)^2)*0.25</f>
        <v>9613128</v>
      </c>
      <c r="C79" s="93" t="s">
        <v>714</v>
      </c>
      <c r="D79" s="164" t="s">
        <v>716</v>
      </c>
      <c r="E79" s="175">
        <f>E66*E65*E65*0.25-(E66-E67)*(E65-2*E68)^2*0.25</f>
        <v>2727644</v>
      </c>
      <c r="F79" s="93" t="s">
        <v>714</v>
      </c>
      <c r="G79" s="164" t="s">
        <v>716</v>
      </c>
      <c r="H79" s="175">
        <f>H66*H65*H65*0.25-(H66-H67)*(H65-2*H68)^2*0.25</f>
        <v>3377657</v>
      </c>
      <c r="I79" s="93" t="s">
        <v>714</v>
      </c>
      <c r="J79" s="62"/>
    </row>
    <row r="80" spans="1:24" ht="18.75" thickBot="1">
      <c r="A80" s="166" t="s">
        <v>717</v>
      </c>
      <c r="B80" s="146">
        <f>B68*B66*B66*0.25*2+(B65-2*B68)*B67*B67*0.25</f>
        <v>1446828</v>
      </c>
      <c r="C80" s="167" t="s">
        <v>714</v>
      </c>
      <c r="D80" s="166" t="s">
        <v>717</v>
      </c>
      <c r="E80" s="146">
        <f>E68*E66*E66*0.25*2+(E65-2*E68)*E67*E67*0.25</f>
        <v>822221</v>
      </c>
      <c r="F80" s="167" t="s">
        <v>714</v>
      </c>
      <c r="G80" s="166" t="s">
        <v>717</v>
      </c>
      <c r="H80" s="146">
        <f>H68*H66*H66*0.25*2+(H65-2*H68)*H67*H67*0.25</f>
        <v>636185.5</v>
      </c>
      <c r="I80" s="167" t="s">
        <v>714</v>
      </c>
      <c r="J80" s="62"/>
    </row>
    <row r="81" spans="1:16">
      <c r="A81" s="168" t="s">
        <v>719</v>
      </c>
      <c r="B81" s="169">
        <f>B79*B69/1000</f>
        <v>33645.947999999997</v>
      </c>
      <c r="C81" s="99" t="s">
        <v>721</v>
      </c>
      <c r="D81" s="168" t="s">
        <v>719</v>
      </c>
      <c r="E81" s="169">
        <f>E79*E69/1000</f>
        <v>9546.7540000000008</v>
      </c>
      <c r="F81" s="99" t="s">
        <v>721</v>
      </c>
      <c r="G81" s="168" t="s">
        <v>719</v>
      </c>
      <c r="H81" s="169">
        <f>H79*H69/1000</f>
        <v>11821.799499999999</v>
      </c>
      <c r="I81" s="99" t="s">
        <v>721</v>
      </c>
      <c r="J81" s="62"/>
    </row>
    <row r="82" spans="1:16" ht="16.5" thickBot="1">
      <c r="A82" s="165" t="s">
        <v>720</v>
      </c>
      <c r="B82" s="94">
        <f>0.6*(B65-B68-B68)*B67*B69/10/10</f>
        <v>282.74400000000003</v>
      </c>
      <c r="C82" s="95" t="s">
        <v>722</v>
      </c>
      <c r="D82" s="165" t="s">
        <v>720</v>
      </c>
      <c r="E82" s="94">
        <f>0.6*(E65-E68-E68)*E67*E69/10/10</f>
        <v>93.323999999999984</v>
      </c>
      <c r="F82" s="95" t="s">
        <v>722</v>
      </c>
      <c r="G82" s="165" t="s">
        <v>720</v>
      </c>
      <c r="H82" s="94">
        <f>0.6*(H65-H68-H68)*H67*H69/10/10</f>
        <v>150.65399999999997</v>
      </c>
      <c r="I82" s="95" t="s">
        <v>722</v>
      </c>
      <c r="J82" s="62"/>
      <c r="L82" s="173" t="s">
        <v>784</v>
      </c>
    </row>
    <row r="83" spans="1:16" ht="18.75">
      <c r="A83" s="168" t="s">
        <v>748</v>
      </c>
      <c r="B83" s="169">
        <f>B66*0.5/B68</f>
        <v>5.0666666666666664</v>
      </c>
      <c r="C83" s="169"/>
      <c r="D83" s="169" t="s">
        <v>748</v>
      </c>
      <c r="E83" s="169">
        <f>E66*0.5/E68</f>
        <v>8.3333333333333339</v>
      </c>
      <c r="F83" s="99"/>
      <c r="G83" s="169" t="s">
        <v>748</v>
      </c>
      <c r="H83" s="169">
        <f>H66*0.5/H68</f>
        <v>3.7142857142857144</v>
      </c>
      <c r="I83" s="99"/>
      <c r="J83" s="62"/>
      <c r="L83" s="175" t="s">
        <v>731</v>
      </c>
      <c r="M83" s="175" t="s">
        <v>747</v>
      </c>
      <c r="N83" s="175" t="s">
        <v>745</v>
      </c>
      <c r="O83" s="175" t="s">
        <v>744</v>
      </c>
    </row>
    <row r="84" spans="1:16">
      <c r="A84" s="164" t="s">
        <v>749</v>
      </c>
      <c r="B84" s="175">
        <f>25/SQRT(B69)</f>
        <v>13.363062095621219</v>
      </c>
      <c r="C84" s="175"/>
      <c r="D84" s="175" t="s">
        <v>749</v>
      </c>
      <c r="E84" s="175">
        <f>25/SQRT(E69)</f>
        <v>13.363062095621219</v>
      </c>
      <c r="F84" s="93"/>
      <c r="G84" s="175" t="s">
        <v>749</v>
      </c>
      <c r="H84" s="175">
        <f>25/SQRT(H69)</f>
        <v>13.363062095621219</v>
      </c>
      <c r="I84" s="93"/>
      <c r="J84" s="62"/>
      <c r="K84" s="177" t="str">
        <f t="shared" ref="K84:K89" si="23">IF(O84&lt;1,"OK","NG")</f>
        <v>OK</v>
      </c>
      <c r="L84" s="175" t="s">
        <v>834</v>
      </c>
      <c r="M84" s="175">
        <f>0.7*425/SQRT((H75/10000)/(H73/100))*SQRT(3.52/2039/PI()/PI())</f>
        <v>0.8312712531100509</v>
      </c>
      <c r="N84" s="175">
        <f>IF(M84&lt;=1.5,(0.658^(M84*M84))*3.52*H73/100,0.877/M84/M84*3.52*H73/100)</f>
        <v>496.13556783708987</v>
      </c>
      <c r="O84" s="150">
        <f>Q73/(0.85*N84)</f>
        <v>0</v>
      </c>
      <c r="P84" s="177" t="str">
        <f t="shared" ref="P84:P89" si="24">K84</f>
        <v>OK</v>
      </c>
    </row>
    <row r="85" spans="1:16">
      <c r="A85" s="164" t="s">
        <v>750</v>
      </c>
      <c r="B85" s="175">
        <f>16/SQRT(B69)</f>
        <v>8.5523597411975807</v>
      </c>
      <c r="C85" s="175"/>
      <c r="D85" s="175" t="s">
        <v>750</v>
      </c>
      <c r="E85" s="175">
        <f>16/SQRT(E69)</f>
        <v>8.5523597411975807</v>
      </c>
      <c r="F85" s="93"/>
      <c r="G85" s="175" t="s">
        <v>750</v>
      </c>
      <c r="H85" s="175">
        <f>16/SQRT(H69)</f>
        <v>8.5523597411975807</v>
      </c>
      <c r="I85" s="93"/>
      <c r="J85" s="62"/>
      <c r="K85" s="177" t="str">
        <f t="shared" si="23"/>
        <v>OK</v>
      </c>
      <c r="L85" s="175" t="s">
        <v>831</v>
      </c>
      <c r="M85" s="175">
        <f>0.7*425/SQRT((H75/10000)/(H73/100))*SQRT(3.52/2039/PI()/PI())</f>
        <v>0.8312712531100509</v>
      </c>
      <c r="N85" s="175">
        <f>IF(M85&lt;=1.5,(0.658^(M85*M85))*3.52*H73/100,0.877/M85/M85*3.52*H73/100)</f>
        <v>496.13556783708987</v>
      </c>
      <c r="O85" s="150">
        <f>Q74/(0.85*N85)</f>
        <v>0.2935945857439915</v>
      </c>
      <c r="P85" s="177" t="str">
        <f t="shared" si="24"/>
        <v>OK</v>
      </c>
    </row>
    <row r="86" spans="1:16">
      <c r="A86" s="164" t="s">
        <v>751</v>
      </c>
      <c r="B86" s="175">
        <f>(B65-B68-B68)/B67</f>
        <v>41.555555555555557</v>
      </c>
      <c r="C86" s="175"/>
      <c r="D86" s="175" t="s">
        <v>751</v>
      </c>
      <c r="E86" s="175">
        <f>(E65-E68-E68)/E67</f>
        <v>36.727272727272727</v>
      </c>
      <c r="F86" s="93"/>
      <c r="G86" s="175" t="s">
        <v>751</v>
      </c>
      <c r="H86" s="175">
        <f>(H65-H68-H68)/H67</f>
        <v>24.823529411764707</v>
      </c>
      <c r="I86" s="93"/>
      <c r="J86" s="62"/>
      <c r="K86" s="177" t="str">
        <f t="shared" si="23"/>
        <v>OK</v>
      </c>
      <c r="L86" s="175" t="s">
        <v>847</v>
      </c>
      <c r="M86" s="150">
        <f>0.7*425/SQRT((E75/10000)/(E73/100))*SQRT(3.52/2039/PI()/PI())</f>
        <v>0.53961831458436582</v>
      </c>
      <c r="N86" s="150">
        <f>IF(M86&lt;=1.5,(0.658^(M86*M86))*3.52*E73/100,0.877/M86/M86*3.52*E73/100)</f>
        <v>475.01921611315868</v>
      </c>
      <c r="O86" s="150">
        <f>Q75/(0.85*N86)</f>
        <v>0.61329189039498033</v>
      </c>
      <c r="P86" s="177" t="str">
        <f t="shared" si="24"/>
        <v>OK</v>
      </c>
    </row>
    <row r="87" spans="1:16">
      <c r="A87" s="164" t="s">
        <v>752</v>
      </c>
      <c r="B87" s="175">
        <f>260/SQRT(B69)</f>
        <v>138.9758457944607</v>
      </c>
      <c r="C87" s="175"/>
      <c r="D87" s="175" t="s">
        <v>752</v>
      </c>
      <c r="E87" s="175">
        <f>260/SQRT(E69)</f>
        <v>138.9758457944607</v>
      </c>
      <c r="F87" s="93"/>
      <c r="G87" s="175" t="s">
        <v>752</v>
      </c>
      <c r="H87" s="175">
        <f>260/SQRT(H69)</f>
        <v>138.9758457944607</v>
      </c>
      <c r="I87" s="93"/>
      <c r="J87" s="62"/>
      <c r="K87" s="177" t="str">
        <f t="shared" si="23"/>
        <v>OK</v>
      </c>
      <c r="L87" s="175" t="s">
        <v>846</v>
      </c>
      <c r="M87" s="150">
        <f>0.7*425/SQRT((E75/10000)/(E73/100))*SQRT(3.52/2039/PI()/PI())</f>
        <v>0.53961831458436582</v>
      </c>
      <c r="N87" s="150">
        <f>IF(M87&lt;=1.5,(0.658^(M87*M87))*3.52*E73/100,0.877/M87/M87*3.52*E73/100)</f>
        <v>475.01921611315868</v>
      </c>
      <c r="O87" s="150">
        <f>Q74/(0.85*N87)</f>
        <v>0.30664594519749017</v>
      </c>
      <c r="P87" s="177" t="str">
        <f t="shared" si="24"/>
        <v>OK</v>
      </c>
    </row>
    <row r="88" spans="1:16" ht="16.5" thickBot="1">
      <c r="A88" s="165" t="s">
        <v>753</v>
      </c>
      <c r="B88" s="94">
        <f>170/SQRT(B69)</f>
        <v>90.868822250224298</v>
      </c>
      <c r="C88" s="94"/>
      <c r="D88" s="94" t="s">
        <v>753</v>
      </c>
      <c r="E88" s="94">
        <f>170/SQRT(E69)</f>
        <v>90.868822250224298</v>
      </c>
      <c r="F88" s="95"/>
      <c r="G88" s="94" t="s">
        <v>753</v>
      </c>
      <c r="H88" s="94">
        <f>170/SQRT(H69)</f>
        <v>90.868822250224298</v>
      </c>
      <c r="I88" s="95"/>
      <c r="J88" s="62"/>
      <c r="K88" s="177" t="str">
        <f t="shared" si="23"/>
        <v>OK</v>
      </c>
      <c r="L88" s="175" t="s">
        <v>821</v>
      </c>
      <c r="M88" s="150">
        <f>0.7*425/SQRT((B75/10000)/(B73/100))*SQRT(3.52/2039/PI()/PI())</f>
        <v>0.590337319969929</v>
      </c>
      <c r="N88" s="150">
        <f>IF(M88&lt;=1.5,(0.658^(M88*M88))*3.52*B73/100,0.877/M88/M88*3.52*B73/100)</f>
        <v>964.51454837830397</v>
      </c>
      <c r="O88" s="150">
        <f>Q77/(0.85*N88)</f>
        <v>0.63764757062529753</v>
      </c>
      <c r="P88" s="177" t="str">
        <f t="shared" si="24"/>
        <v>OK</v>
      </c>
    </row>
    <row r="89" spans="1:16">
      <c r="J89" s="62"/>
      <c r="K89" s="177" t="str">
        <f t="shared" si="23"/>
        <v>OK</v>
      </c>
      <c r="L89" s="175" t="s">
        <v>848</v>
      </c>
      <c r="M89" s="150">
        <f>0.7*425/SQRT((B75/10000)/(B73/100))*SQRT(3.52/2039/PI()/PI())</f>
        <v>0.590337319969929</v>
      </c>
      <c r="N89" s="150">
        <f>IF(M89&lt;=1.5,(0.658^(M89*M89))*3.52*B73/100,0.877/M89/M89*3.52*B73/100)</f>
        <v>964.51454837830397</v>
      </c>
      <c r="O89" s="150">
        <f>Q78/(0.85*N89)</f>
        <v>0.88935055903002014</v>
      </c>
      <c r="P89" s="177" t="str">
        <f t="shared" si="24"/>
        <v>OK</v>
      </c>
    </row>
    <row r="90" spans="1:16" ht="16.5" thickBot="1">
      <c r="J90" s="62"/>
    </row>
    <row r="91" spans="1:16">
      <c r="E91" s="248" t="s">
        <v>836</v>
      </c>
      <c r="F91" s="249"/>
      <c r="G91" s="250"/>
      <c r="J91" s="62"/>
    </row>
    <row r="92" spans="1:16">
      <c r="E92" s="157" t="s">
        <v>698</v>
      </c>
      <c r="F92" s="158">
        <v>808</v>
      </c>
      <c r="G92" s="159" t="s">
        <v>699</v>
      </c>
      <c r="J92" s="62"/>
    </row>
    <row r="93" spans="1:16">
      <c r="E93" s="157" t="s">
        <v>700</v>
      </c>
      <c r="F93" s="158">
        <v>302</v>
      </c>
      <c r="G93" s="159" t="s">
        <v>699</v>
      </c>
    </row>
    <row r="94" spans="1:16">
      <c r="E94" s="157" t="s">
        <v>701</v>
      </c>
      <c r="F94" s="158">
        <v>16</v>
      </c>
      <c r="G94" s="159" t="s">
        <v>699</v>
      </c>
    </row>
    <row r="95" spans="1:16">
      <c r="E95" s="157" t="s">
        <v>702</v>
      </c>
      <c r="F95" s="158">
        <v>30</v>
      </c>
      <c r="G95" s="159" t="s">
        <v>699</v>
      </c>
    </row>
    <row r="96" spans="1:16">
      <c r="E96" s="157" t="s">
        <v>703</v>
      </c>
      <c r="F96" s="62">
        <v>3.5</v>
      </c>
      <c r="G96" s="159" t="s">
        <v>718</v>
      </c>
    </row>
    <row r="97" spans="5:7">
      <c r="E97" s="157"/>
      <c r="F97" s="62"/>
      <c r="G97" s="159"/>
    </row>
    <row r="98" spans="5:7" ht="16.5">
      <c r="E98" s="163" t="s">
        <v>704</v>
      </c>
      <c r="F98" s="161"/>
      <c r="G98" s="162"/>
    </row>
    <row r="99" spans="5:7">
      <c r="E99" s="164" t="s">
        <v>705</v>
      </c>
      <c r="F99" s="175"/>
      <c r="G99" s="93"/>
    </row>
    <row r="100" spans="5:7" ht="18">
      <c r="E100" s="164" t="s">
        <v>707</v>
      </c>
      <c r="F100" s="175">
        <f>F93*F95*2+(F92-F95-F95)*F94</f>
        <v>30088</v>
      </c>
      <c r="G100" s="93" t="s">
        <v>708</v>
      </c>
    </row>
    <row r="101" spans="5:7" ht="18">
      <c r="E101" s="164" t="s">
        <v>709</v>
      </c>
      <c r="F101" s="175">
        <f>(F94*(F92-F95-F95)^3)/12+2*(F93*F95*F95*F95/12+F93*F95*(F92*0.5-0.5*F95)^2)</f>
        <v>3301307509.3333335</v>
      </c>
      <c r="G101" s="93" t="s">
        <v>710</v>
      </c>
    </row>
    <row r="102" spans="5:7" ht="18">
      <c r="E102" s="164" t="s">
        <v>711</v>
      </c>
      <c r="F102" s="175">
        <f>(F92-F95-F95)*F94*F94*F94/12+F95*F93*F93*F93*2/12</f>
        <v>137973357.33333334</v>
      </c>
      <c r="G102" s="93" t="s">
        <v>710</v>
      </c>
    </row>
    <row r="103" spans="5:7" ht="18">
      <c r="E103" s="164" t="s">
        <v>712</v>
      </c>
      <c r="F103" s="175">
        <f>(F92-F95-F95)*F94*F94*F94/3+F93*F95*F95*F95/3*2</f>
        <v>6457269.333333333</v>
      </c>
      <c r="G103" s="93" t="s">
        <v>710</v>
      </c>
    </row>
    <row r="104" spans="5:7" ht="18">
      <c r="E104" s="164" t="s">
        <v>713</v>
      </c>
      <c r="F104" s="175">
        <f>F101/(F92/2)</f>
        <v>8171553.2409240929</v>
      </c>
      <c r="G104" s="93" t="s">
        <v>714</v>
      </c>
    </row>
    <row r="105" spans="5:7" ht="18">
      <c r="E105" s="164" t="s">
        <v>715</v>
      </c>
      <c r="F105" s="175">
        <f>F102/(F93/2)</f>
        <v>913730.8432671082</v>
      </c>
      <c r="G105" s="93" t="s">
        <v>714</v>
      </c>
    </row>
    <row r="106" spans="5:7" ht="18">
      <c r="E106" s="164" t="s">
        <v>716</v>
      </c>
      <c r="F106" s="175">
        <f>F93*F92*F92*0.25-(F93-F94)*(F92-2*F95)^2*0.25</f>
        <v>9286696</v>
      </c>
      <c r="G106" s="93" t="s">
        <v>714</v>
      </c>
    </row>
    <row r="107" spans="5:7" ht="18.75" thickBot="1">
      <c r="E107" s="166" t="s">
        <v>717</v>
      </c>
      <c r="F107" s="146">
        <f>F95*F93*F93*0.25*2+(F92-2*F95)*F94*F94*0.25</f>
        <v>1415932</v>
      </c>
      <c r="G107" s="167" t="s">
        <v>714</v>
      </c>
    </row>
    <row r="108" spans="5:7">
      <c r="E108" s="168" t="s">
        <v>719</v>
      </c>
      <c r="F108" s="169">
        <f>F106*F96/1000</f>
        <v>32503.436000000002</v>
      </c>
      <c r="G108" s="99" t="s">
        <v>721</v>
      </c>
    </row>
    <row r="109" spans="5:7" ht="16.5" thickBot="1">
      <c r="E109" s="165" t="s">
        <v>720</v>
      </c>
      <c r="F109" s="94">
        <f>0.6*(F92-F95-F95)*F94*F96/10/10</f>
        <v>251.32799999999997</v>
      </c>
      <c r="G109" s="95" t="s">
        <v>722</v>
      </c>
    </row>
    <row r="110" spans="5:7">
      <c r="E110" s="169" t="s">
        <v>748</v>
      </c>
      <c r="F110" s="169">
        <f>F93*0.5/F95</f>
        <v>5.0333333333333332</v>
      </c>
      <c r="G110" s="99"/>
    </row>
    <row r="111" spans="5:7">
      <c r="E111" s="175" t="s">
        <v>749</v>
      </c>
      <c r="F111" s="175">
        <f>25/SQRT(F96)</f>
        <v>13.363062095621219</v>
      </c>
      <c r="G111" s="93"/>
    </row>
    <row r="112" spans="5:7">
      <c r="E112" s="175" t="s">
        <v>750</v>
      </c>
      <c r="F112" s="175">
        <f>16/SQRT(F96)</f>
        <v>8.5523597411975807</v>
      </c>
      <c r="G112" s="93"/>
    </row>
    <row r="113" spans="5:7">
      <c r="E113" s="175" t="s">
        <v>751</v>
      </c>
      <c r="F113" s="175">
        <f>(F92-F95-F95)/F94</f>
        <v>46.75</v>
      </c>
      <c r="G113" s="93"/>
    </row>
    <row r="114" spans="5:7">
      <c r="E114" s="175" t="s">
        <v>752</v>
      </c>
      <c r="F114" s="175">
        <f>260/SQRT(F96)</f>
        <v>138.9758457944607</v>
      </c>
      <c r="G114" s="93"/>
    </row>
    <row r="115" spans="5:7" ht="16.5" thickBot="1">
      <c r="E115" s="94" t="s">
        <v>753</v>
      </c>
      <c r="F115" s="94">
        <f>170/SQRT(F96)</f>
        <v>90.868822250224298</v>
      </c>
      <c r="G115" s="95"/>
    </row>
  </sheetData>
  <mergeCells count="11">
    <mergeCell ref="E91:G91"/>
    <mergeCell ref="H9:J9"/>
    <mergeCell ref="O29:U29"/>
    <mergeCell ref="R72:X72"/>
    <mergeCell ref="A37:C37"/>
    <mergeCell ref="D37:F37"/>
    <mergeCell ref="A64:C64"/>
    <mergeCell ref="D64:F64"/>
    <mergeCell ref="Q9:S9"/>
    <mergeCell ref="G37:I37"/>
    <mergeCell ref="G64:I64"/>
  </mergeCells>
  <phoneticPr fontId="11" type="noConversion"/>
  <pageMargins left="0.7" right="0.7" top="0.75" bottom="0.75" header="0.3" footer="0.3"/>
  <ignoredErrors>
    <ignoredError sqref="U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Sheet4</vt:lpstr>
      <vt:lpstr>Output</vt:lpstr>
      <vt:lpstr>Soil type</vt:lpstr>
      <vt:lpstr>Seismic Zone, Taiwan</vt:lpstr>
      <vt:lpstr>ductility</vt:lpstr>
      <vt:lpstr>Near Fault</vt:lpstr>
      <vt:lpstr>WEIGHT</vt:lpstr>
      <vt:lpstr>EBF</vt:lpstr>
      <vt:lpstr>BRB</vt:lpstr>
      <vt:lpstr>Sheet1</vt:lpstr>
      <vt:lpstr>工作表1</vt:lpstr>
      <vt:lpstr>工作表2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Windows 使用者</cp:lastModifiedBy>
  <cp:lastPrinted>2009-05-21T12:49:04Z</cp:lastPrinted>
  <dcterms:created xsi:type="dcterms:W3CDTF">2009-05-14T11:59:56Z</dcterms:created>
  <dcterms:modified xsi:type="dcterms:W3CDTF">2018-05-15T23:05:47Z</dcterms:modified>
</cp:coreProperties>
</file>