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835" windowHeight="11235" firstSheet="3" activeTab="5"/>
  </bookViews>
  <sheets>
    <sheet name="靜載重計算" sheetId="1" r:id="rId1"/>
    <sheet name="質量計算" sheetId="5" r:id="rId2"/>
    <sheet name="地震力計算" sheetId="2" r:id="rId3"/>
    <sheet name="MRF設計" sheetId="6" r:id="rId4"/>
    <sheet name="EBF設計" sheetId="8" r:id="rId5"/>
    <sheet name="BRBF設計" sheetId="9" r:id="rId6"/>
    <sheet name="資料" sheetId="3" r:id="rId7"/>
    <sheet name="寬翼斷面尺寸" sheetId="4" r:id="rId8"/>
    <sheet name="箱型斷面尺寸" sheetId="7" r:id="rId9"/>
    <sheet name="週期_hw1" sheetId="11" r:id="rId10"/>
  </sheets>
  <definedNames>
    <definedName name="Section">寬翼斷面尺寸!$A$2:$A$110</definedName>
    <definedName name="Section_box">箱型斷面尺寸!$A$2:$A$83</definedName>
    <definedName name="size_of_steel" localSheetId="7">寬翼斷面尺寸!$B$2:$E$109</definedName>
    <definedName name="地盤分類">資料!$O$35:$O$37</definedName>
    <definedName name="宜蘭縣">資料!$N$2:$N$13</definedName>
    <definedName name="花蓮縣">資料!$AC$2:$AC$14</definedName>
    <definedName name="金門與馬祖地區">資料!$AD$2</definedName>
    <definedName name="南投縣">資料!$T$2:$T$14</definedName>
    <definedName name="屏東縣">資料!$Z$2:$Z$34</definedName>
    <definedName name="苗栗縣">資料!$Q$2:$Q$20</definedName>
    <definedName name="桃園縣">資料!$O$2:$O$14</definedName>
    <definedName name="高雄市">資料!$Y$2:$Y$39</definedName>
    <definedName name="基隆市">資料!$M$2:$M$8</definedName>
    <definedName name="雲林縣">資料!$U$2:$U$21</definedName>
    <definedName name="新竹縣">資料!$P$2:$P$17</definedName>
    <definedName name="嘉義市">資料!$W$2:$W$3</definedName>
    <definedName name="嘉義縣">資料!$V$2:$V$19</definedName>
    <definedName name="彰化縣">資料!$S$2:$S$27</definedName>
    <definedName name="構架型式">資料!$A$2:$A$5</definedName>
    <definedName name="臺中市">資料!$R$2:$R$30</definedName>
    <definedName name="臺東縣">資料!$AB$2:$AB$17</definedName>
    <definedName name="臺南市">資料!$X$2:$X$39</definedName>
    <definedName name="澎湖縣">資料!$AA$2:$AA$6</definedName>
    <definedName name="縣市">資料!$M$1:$AD$1</definedName>
  </definedNames>
  <calcPr calcId="152511"/>
</workbook>
</file>

<file path=xl/calcChain.xml><?xml version="1.0" encoding="utf-8"?>
<calcChain xmlns="http://schemas.openxmlformats.org/spreadsheetml/2006/main">
  <c r="E8" i="6" l="1"/>
  <c r="G6" i="11"/>
  <c r="G5" i="11"/>
  <c r="F6" i="11"/>
  <c r="F5" i="11"/>
  <c r="D6" i="11"/>
  <c r="D5" i="11"/>
  <c r="E7" i="5" l="1"/>
  <c r="C7" i="5"/>
  <c r="D6" i="1"/>
  <c r="E7" i="6"/>
  <c r="E6" i="6"/>
  <c r="E5" i="6"/>
  <c r="D59" i="9"/>
  <c r="D60" i="9"/>
  <c r="D61" i="9"/>
  <c r="D58" i="9"/>
  <c r="B59" i="9"/>
  <c r="B60" i="9"/>
  <c r="B61" i="9"/>
  <c r="B58" i="9"/>
  <c r="F48" i="9"/>
  <c r="F47" i="9"/>
  <c r="F46" i="9"/>
  <c r="F45" i="9"/>
  <c r="H28" i="9"/>
  <c r="G28" i="9"/>
  <c r="H27" i="9"/>
  <c r="G27" i="9"/>
  <c r="H26" i="9"/>
  <c r="G26" i="9"/>
  <c r="H25" i="9"/>
  <c r="G25" i="9"/>
  <c r="I14" i="9"/>
  <c r="J14" i="9" s="1"/>
  <c r="I13" i="9"/>
  <c r="J13" i="9" s="1"/>
  <c r="I12" i="9"/>
  <c r="J12" i="9" s="1"/>
  <c r="I11" i="9"/>
  <c r="J11" i="9" s="1"/>
  <c r="E12" i="9"/>
  <c r="E13" i="9"/>
  <c r="E14" i="9"/>
  <c r="E11" i="9"/>
  <c r="D12" i="9"/>
  <c r="D13" i="9"/>
  <c r="D14" i="9"/>
  <c r="D11" i="9"/>
  <c r="D98" i="8"/>
  <c r="D99" i="8"/>
  <c r="D100" i="8"/>
  <c r="D101" i="8"/>
  <c r="B99" i="8"/>
  <c r="B100" i="8"/>
  <c r="B101" i="8"/>
  <c r="B98" i="8"/>
  <c r="F88" i="8"/>
  <c r="F87" i="8"/>
  <c r="F86" i="8"/>
  <c r="F85" i="8"/>
  <c r="H68" i="8"/>
  <c r="H67" i="8"/>
  <c r="H66" i="8"/>
  <c r="H65" i="8"/>
  <c r="G68" i="8"/>
  <c r="G67" i="8"/>
  <c r="G66" i="8"/>
  <c r="G65" i="8"/>
  <c r="H52" i="8"/>
  <c r="H53" i="8"/>
  <c r="H54" i="8"/>
  <c r="H51" i="8"/>
  <c r="G52" i="8"/>
  <c r="G53" i="8"/>
  <c r="G54" i="8"/>
  <c r="G51" i="8"/>
  <c r="B52" i="8"/>
  <c r="B53" i="8"/>
  <c r="B54" i="8"/>
  <c r="B51" i="8"/>
  <c r="C44" i="8"/>
  <c r="C45" i="8"/>
  <c r="C46" i="8"/>
  <c r="C43" i="8"/>
  <c r="F9" i="8"/>
  <c r="C36" i="8" s="1"/>
  <c r="F10" i="8"/>
  <c r="C37" i="8" s="1"/>
  <c r="F11" i="8"/>
  <c r="C38" i="8" s="1"/>
  <c r="F8" i="8"/>
  <c r="C35" i="8" s="1"/>
  <c r="B44" i="8"/>
  <c r="B45" i="8"/>
  <c r="B46" i="8"/>
  <c r="B43" i="8"/>
  <c r="M11" i="9" l="1"/>
  <c r="B19" i="9"/>
  <c r="C19" i="9" s="1"/>
  <c r="E19" i="9" s="1"/>
  <c r="F19" i="9" s="1"/>
  <c r="B22" i="9"/>
  <c r="M14" i="9"/>
  <c r="B21" i="9"/>
  <c r="M13" i="9"/>
  <c r="B20" i="9"/>
  <c r="M12" i="9"/>
  <c r="B68" i="8"/>
  <c r="B65" i="8"/>
  <c r="B66" i="8"/>
  <c r="B67" i="8"/>
  <c r="D19" i="9" l="1"/>
  <c r="B39" i="9"/>
  <c r="D39" i="9" s="1"/>
  <c r="C22" i="9"/>
  <c r="E22" i="9" s="1"/>
  <c r="C20" i="9"/>
  <c r="E20" i="9" s="1"/>
  <c r="C21" i="9"/>
  <c r="E21" i="9" s="1"/>
  <c r="D21" i="9" l="1"/>
  <c r="C39" i="9"/>
  <c r="D20" i="9"/>
  <c r="F20" i="9"/>
  <c r="B40" i="9"/>
  <c r="D22" i="9"/>
  <c r="F22" i="9"/>
  <c r="B42" i="9"/>
  <c r="F21" i="9"/>
  <c r="B41" i="9"/>
  <c r="I17" i="8"/>
  <c r="H17" i="8"/>
  <c r="I16" i="8"/>
  <c r="H16" i="8"/>
  <c r="I15" i="8"/>
  <c r="H15" i="8"/>
  <c r="I14" i="8"/>
  <c r="H14" i="8"/>
  <c r="C15" i="8"/>
  <c r="C16" i="8"/>
  <c r="C17" i="8"/>
  <c r="C14" i="8"/>
  <c r="H83" i="7"/>
  <c r="G83" i="7"/>
  <c r="F83" i="7"/>
  <c r="H82" i="7"/>
  <c r="G82" i="7"/>
  <c r="F82" i="7"/>
  <c r="H81" i="7"/>
  <c r="G81" i="7"/>
  <c r="F81" i="7"/>
  <c r="H80" i="7"/>
  <c r="G80" i="7"/>
  <c r="F80" i="7"/>
  <c r="H79" i="7"/>
  <c r="G79" i="7"/>
  <c r="F79" i="7"/>
  <c r="H78" i="7"/>
  <c r="I78" i="7" s="1"/>
  <c r="G78" i="7"/>
  <c r="F78" i="7"/>
  <c r="H77" i="7"/>
  <c r="G77" i="7"/>
  <c r="F77" i="7"/>
  <c r="H76" i="7"/>
  <c r="G76" i="7"/>
  <c r="F76" i="7"/>
  <c r="H75" i="7"/>
  <c r="G75" i="7"/>
  <c r="F75" i="7"/>
  <c r="H74" i="7"/>
  <c r="I74" i="7" s="1"/>
  <c r="G74" i="7"/>
  <c r="F74" i="7"/>
  <c r="H73" i="7"/>
  <c r="G73" i="7"/>
  <c r="F73" i="7"/>
  <c r="H72" i="7"/>
  <c r="G72" i="7"/>
  <c r="F72" i="7"/>
  <c r="H71" i="7"/>
  <c r="G71" i="7"/>
  <c r="F71" i="7"/>
  <c r="H70" i="7"/>
  <c r="I70" i="7" s="1"/>
  <c r="G70" i="7"/>
  <c r="F70" i="7"/>
  <c r="H69" i="7"/>
  <c r="G69" i="7"/>
  <c r="F69" i="7"/>
  <c r="H68" i="7"/>
  <c r="G68" i="7"/>
  <c r="F68" i="7"/>
  <c r="H67" i="7"/>
  <c r="G67" i="7"/>
  <c r="F67" i="7"/>
  <c r="H66" i="7"/>
  <c r="I66" i="7" s="1"/>
  <c r="G66" i="7"/>
  <c r="F66" i="7"/>
  <c r="H65" i="7"/>
  <c r="G65" i="7"/>
  <c r="F65" i="7"/>
  <c r="H64" i="7"/>
  <c r="G64" i="7"/>
  <c r="F64" i="7"/>
  <c r="H63" i="7"/>
  <c r="G63" i="7"/>
  <c r="F63" i="7"/>
  <c r="H62" i="7"/>
  <c r="I62" i="7" s="1"/>
  <c r="G62" i="7"/>
  <c r="F62" i="7"/>
  <c r="H61" i="7"/>
  <c r="G61" i="7"/>
  <c r="F61" i="7"/>
  <c r="H60" i="7"/>
  <c r="G60" i="7"/>
  <c r="F60" i="7"/>
  <c r="H59" i="7"/>
  <c r="G59" i="7"/>
  <c r="F59" i="7"/>
  <c r="H58" i="7"/>
  <c r="I58" i="7" s="1"/>
  <c r="G58" i="7"/>
  <c r="F58" i="7"/>
  <c r="H57" i="7"/>
  <c r="G57" i="7"/>
  <c r="F57" i="7"/>
  <c r="H56" i="7"/>
  <c r="G56" i="7"/>
  <c r="F56" i="7"/>
  <c r="H55" i="7"/>
  <c r="G55" i="7"/>
  <c r="F55" i="7"/>
  <c r="H54" i="7"/>
  <c r="I54" i="7" s="1"/>
  <c r="G54" i="7"/>
  <c r="F54" i="7"/>
  <c r="H53" i="7"/>
  <c r="G53" i="7"/>
  <c r="F53" i="7"/>
  <c r="H52" i="7"/>
  <c r="G52" i="7"/>
  <c r="F52" i="7"/>
  <c r="H51" i="7"/>
  <c r="G51" i="7"/>
  <c r="F51" i="7"/>
  <c r="H50" i="7"/>
  <c r="I50" i="7" s="1"/>
  <c r="G50" i="7"/>
  <c r="F50" i="7"/>
  <c r="H49" i="7"/>
  <c r="G49" i="7"/>
  <c r="F49" i="7"/>
  <c r="H48" i="7"/>
  <c r="G48" i="7"/>
  <c r="F48" i="7"/>
  <c r="H47" i="7"/>
  <c r="G47" i="7"/>
  <c r="F47" i="7"/>
  <c r="H46" i="7"/>
  <c r="G46" i="7"/>
  <c r="F46" i="7"/>
  <c r="H45" i="7"/>
  <c r="G45" i="7"/>
  <c r="F45" i="7"/>
  <c r="H44" i="7"/>
  <c r="G44" i="7"/>
  <c r="F44" i="7"/>
  <c r="H43" i="7"/>
  <c r="G43" i="7"/>
  <c r="F43" i="7"/>
  <c r="H42" i="7"/>
  <c r="G42" i="7"/>
  <c r="F42" i="7"/>
  <c r="H41" i="7"/>
  <c r="G41" i="7"/>
  <c r="F41" i="7"/>
  <c r="H40" i="7"/>
  <c r="G40" i="7"/>
  <c r="F40" i="7"/>
  <c r="H39" i="7"/>
  <c r="G39" i="7"/>
  <c r="F39" i="7"/>
  <c r="H38" i="7"/>
  <c r="G38" i="7"/>
  <c r="F38" i="7"/>
  <c r="H37" i="7"/>
  <c r="G37" i="7"/>
  <c r="F37" i="7"/>
  <c r="H36" i="7"/>
  <c r="G36" i="7"/>
  <c r="F36" i="7"/>
  <c r="H35" i="7"/>
  <c r="G35" i="7"/>
  <c r="F35" i="7"/>
  <c r="H34" i="7"/>
  <c r="G34" i="7"/>
  <c r="F34" i="7"/>
  <c r="H33" i="7"/>
  <c r="G33" i="7"/>
  <c r="F33" i="7"/>
  <c r="H32" i="7"/>
  <c r="G32" i="7"/>
  <c r="F32" i="7"/>
  <c r="H31" i="7"/>
  <c r="G31" i="7"/>
  <c r="F31" i="7"/>
  <c r="H30" i="7"/>
  <c r="G30" i="7"/>
  <c r="F30" i="7"/>
  <c r="H29" i="7"/>
  <c r="G29" i="7"/>
  <c r="F29" i="7"/>
  <c r="H28" i="7"/>
  <c r="G28" i="7"/>
  <c r="F28" i="7"/>
  <c r="H27" i="7"/>
  <c r="G27" i="7"/>
  <c r="F27" i="7"/>
  <c r="H26" i="7"/>
  <c r="I26" i="7" s="1"/>
  <c r="G26" i="7"/>
  <c r="F26" i="7"/>
  <c r="H25" i="7"/>
  <c r="G25" i="7"/>
  <c r="F25" i="7"/>
  <c r="H24" i="7"/>
  <c r="G24" i="7"/>
  <c r="F24" i="7"/>
  <c r="H23" i="7"/>
  <c r="G23" i="7"/>
  <c r="F23" i="7"/>
  <c r="H22" i="7"/>
  <c r="I22" i="7" s="1"/>
  <c r="G22" i="7"/>
  <c r="F22" i="7"/>
  <c r="H21" i="7"/>
  <c r="G21" i="7"/>
  <c r="F21" i="7"/>
  <c r="H20" i="7"/>
  <c r="G20" i="7"/>
  <c r="F20" i="7"/>
  <c r="H19" i="7"/>
  <c r="G19" i="7"/>
  <c r="F19" i="7"/>
  <c r="H18" i="7"/>
  <c r="I18" i="7" s="1"/>
  <c r="G18" i="7"/>
  <c r="F18" i="7"/>
  <c r="H17" i="7"/>
  <c r="G17" i="7"/>
  <c r="F17" i="7"/>
  <c r="H16" i="7"/>
  <c r="G16" i="7"/>
  <c r="F16" i="7"/>
  <c r="H15" i="7"/>
  <c r="G15" i="7"/>
  <c r="F15" i="7"/>
  <c r="H14" i="7"/>
  <c r="I14" i="7" s="1"/>
  <c r="G14" i="7"/>
  <c r="F14" i="7"/>
  <c r="H13" i="7"/>
  <c r="G13" i="7"/>
  <c r="F13" i="7"/>
  <c r="H12" i="7"/>
  <c r="G12" i="7"/>
  <c r="F12" i="7"/>
  <c r="H11" i="7"/>
  <c r="G11" i="7"/>
  <c r="F11" i="7"/>
  <c r="H10" i="7"/>
  <c r="I10" i="7" s="1"/>
  <c r="G10" i="7"/>
  <c r="F10" i="7"/>
  <c r="H9" i="7"/>
  <c r="G9" i="7"/>
  <c r="F9" i="7"/>
  <c r="H8" i="7"/>
  <c r="G8" i="7"/>
  <c r="F8" i="7"/>
  <c r="H7" i="7"/>
  <c r="G7" i="7"/>
  <c r="F7" i="7"/>
  <c r="H6" i="7"/>
  <c r="I6" i="7" s="1"/>
  <c r="G6" i="7"/>
  <c r="F6" i="7"/>
  <c r="H5" i="7"/>
  <c r="G5" i="7"/>
  <c r="F5" i="7"/>
  <c r="H4" i="7"/>
  <c r="G4" i="7"/>
  <c r="F4" i="7"/>
  <c r="H3" i="7"/>
  <c r="G3" i="7"/>
  <c r="F3" i="7"/>
  <c r="H2" i="7"/>
  <c r="G2" i="7"/>
  <c r="F2" i="7"/>
  <c r="I6" i="6"/>
  <c r="I7" i="6"/>
  <c r="I8" i="6"/>
  <c r="I5" i="6"/>
  <c r="H5" i="6"/>
  <c r="H6" i="6"/>
  <c r="H7" i="6"/>
  <c r="H8" i="6"/>
  <c r="F54" i="8" l="1"/>
  <c r="F51" i="8"/>
  <c r="F53" i="8"/>
  <c r="F52" i="8"/>
  <c r="D40" i="9"/>
  <c r="C42" i="9"/>
  <c r="D41" i="9"/>
  <c r="C41" i="9"/>
  <c r="C40" i="9"/>
  <c r="D42" i="9"/>
  <c r="I2" i="7"/>
  <c r="D37" i="8"/>
  <c r="E37" i="8" s="1"/>
  <c r="D38" i="8"/>
  <c r="E38" i="8" s="1"/>
  <c r="D36" i="8"/>
  <c r="E36" i="8" s="1"/>
  <c r="D35" i="8"/>
  <c r="E35" i="8" s="1"/>
  <c r="C21" i="8"/>
  <c r="B80" i="8"/>
  <c r="B29" i="8"/>
  <c r="C29" i="8" s="1"/>
  <c r="B81" i="8"/>
  <c r="B30" i="8"/>
  <c r="F38" i="8" s="1"/>
  <c r="H38" i="8" s="1"/>
  <c r="B82" i="8"/>
  <c r="C20" i="8"/>
  <c r="B79" i="8"/>
  <c r="C23" i="8"/>
  <c r="B28" i="8"/>
  <c r="C22" i="8"/>
  <c r="B27" i="8"/>
  <c r="I3" i="7"/>
  <c r="I7" i="7"/>
  <c r="I11" i="7"/>
  <c r="I15" i="7"/>
  <c r="I19" i="7"/>
  <c r="I23" i="7"/>
  <c r="I27" i="7"/>
  <c r="I31" i="7"/>
  <c r="I35" i="7"/>
  <c r="I39" i="7"/>
  <c r="I43" i="7"/>
  <c r="I47" i="7"/>
  <c r="I51" i="7"/>
  <c r="I55" i="7"/>
  <c r="I59" i="7"/>
  <c r="I63" i="7"/>
  <c r="I67" i="7"/>
  <c r="I71" i="7"/>
  <c r="I75" i="7"/>
  <c r="I79" i="7"/>
  <c r="I81" i="7"/>
  <c r="I16" i="7"/>
  <c r="I32" i="7"/>
  <c r="I36" i="7"/>
  <c r="I40" i="7"/>
  <c r="I44" i="7"/>
  <c r="I48" i="7"/>
  <c r="I4" i="7"/>
  <c r="I8" i="7"/>
  <c r="I12" i="7"/>
  <c r="I20" i="7"/>
  <c r="I24" i="7"/>
  <c r="I28" i="7"/>
  <c r="I52" i="7"/>
  <c r="I56" i="7"/>
  <c r="I60" i="7"/>
  <c r="I64" i="7"/>
  <c r="I68" i="7"/>
  <c r="I72" i="7"/>
  <c r="I76" i="7"/>
  <c r="I82" i="7"/>
  <c r="I5" i="7"/>
  <c r="I9" i="7"/>
  <c r="I13" i="7"/>
  <c r="I17" i="7"/>
  <c r="I21" i="7"/>
  <c r="I25" i="7"/>
  <c r="I29" i="7"/>
  <c r="I33" i="7"/>
  <c r="I37" i="7"/>
  <c r="I41" i="7"/>
  <c r="I45" i="7"/>
  <c r="I49" i="7"/>
  <c r="I53" i="7"/>
  <c r="I57" i="7"/>
  <c r="I61" i="7"/>
  <c r="I65" i="7"/>
  <c r="I69" i="7"/>
  <c r="I73" i="7"/>
  <c r="I77" i="7"/>
  <c r="I83" i="7"/>
  <c r="I30" i="7"/>
  <c r="I34" i="7"/>
  <c r="I38" i="7"/>
  <c r="I42" i="7"/>
  <c r="I46" i="7"/>
  <c r="I80" i="7"/>
  <c r="F46" i="8" l="1"/>
  <c r="H46" i="8" s="1"/>
  <c r="C53" i="8"/>
  <c r="C52" i="8"/>
  <c r="C54" i="8"/>
  <c r="C51" i="8"/>
  <c r="C30" i="8"/>
  <c r="F45" i="8"/>
  <c r="H45" i="8" s="1"/>
  <c r="F37" i="8"/>
  <c r="H37" i="8" s="1"/>
  <c r="C81" i="8" s="1"/>
  <c r="C82" i="8"/>
  <c r="C28" i="8"/>
  <c r="F44" i="8"/>
  <c r="H44" i="8" s="1"/>
  <c r="F36" i="8"/>
  <c r="H36" i="8" s="1"/>
  <c r="C80" i="8" s="1"/>
  <c r="C27" i="8"/>
  <c r="F43" i="8"/>
  <c r="H43" i="8" s="1"/>
  <c r="F35" i="8"/>
  <c r="H35" i="8" s="1"/>
  <c r="C79" i="8" s="1"/>
  <c r="D51" i="8" l="1"/>
  <c r="E51" i="8"/>
  <c r="D54" i="8"/>
  <c r="E54" i="8"/>
  <c r="D52" i="8"/>
  <c r="E52" i="8"/>
  <c r="D53" i="8"/>
  <c r="E53" i="8"/>
  <c r="L5" i="4"/>
  <c r="L13" i="4"/>
  <c r="L21" i="4"/>
  <c r="L29" i="4"/>
  <c r="L37" i="4"/>
  <c r="L45" i="4"/>
  <c r="L53" i="4"/>
  <c r="L61" i="4"/>
  <c r="L69" i="4"/>
  <c r="L77" i="4"/>
  <c r="L85" i="4"/>
  <c r="L93" i="4"/>
  <c r="L101" i="4"/>
  <c r="L109" i="4"/>
  <c r="K3" i="4"/>
  <c r="L3" i="4" s="1"/>
  <c r="K4" i="4"/>
  <c r="L4" i="4" s="1"/>
  <c r="K5" i="4"/>
  <c r="K6" i="4"/>
  <c r="L6" i="4" s="1"/>
  <c r="K7" i="4"/>
  <c r="L7" i="4" s="1"/>
  <c r="K8" i="4"/>
  <c r="L8" i="4" s="1"/>
  <c r="K9" i="4"/>
  <c r="L9" i="4" s="1"/>
  <c r="K10" i="4"/>
  <c r="L10" i="4" s="1"/>
  <c r="K11" i="4"/>
  <c r="L11" i="4" s="1"/>
  <c r="K12" i="4"/>
  <c r="L12" i="4" s="1"/>
  <c r="K13" i="4"/>
  <c r="K14" i="4"/>
  <c r="L14" i="4" s="1"/>
  <c r="K15" i="4"/>
  <c r="L15" i="4" s="1"/>
  <c r="K16" i="4"/>
  <c r="L16" i="4" s="1"/>
  <c r="K17" i="4"/>
  <c r="L17" i="4" s="1"/>
  <c r="K18" i="4"/>
  <c r="L18" i="4" s="1"/>
  <c r="K19" i="4"/>
  <c r="L19" i="4" s="1"/>
  <c r="K20" i="4"/>
  <c r="L20" i="4" s="1"/>
  <c r="K21" i="4"/>
  <c r="K22" i="4"/>
  <c r="L22" i="4" s="1"/>
  <c r="K23" i="4"/>
  <c r="L23" i="4" s="1"/>
  <c r="K24" i="4"/>
  <c r="L24" i="4" s="1"/>
  <c r="K25" i="4"/>
  <c r="L25" i="4" s="1"/>
  <c r="K26" i="4"/>
  <c r="L26" i="4" s="1"/>
  <c r="K27" i="4"/>
  <c r="L27" i="4" s="1"/>
  <c r="K28" i="4"/>
  <c r="L28" i="4" s="1"/>
  <c r="K29" i="4"/>
  <c r="K30" i="4"/>
  <c r="L30" i="4" s="1"/>
  <c r="K31" i="4"/>
  <c r="L31" i="4" s="1"/>
  <c r="K32" i="4"/>
  <c r="L32" i="4" s="1"/>
  <c r="K33" i="4"/>
  <c r="L33" i="4" s="1"/>
  <c r="K34" i="4"/>
  <c r="L34" i="4" s="1"/>
  <c r="K35" i="4"/>
  <c r="L35" i="4" s="1"/>
  <c r="K36" i="4"/>
  <c r="L36" i="4" s="1"/>
  <c r="K37" i="4"/>
  <c r="K38" i="4"/>
  <c r="L38" i="4" s="1"/>
  <c r="K39" i="4"/>
  <c r="L39" i="4" s="1"/>
  <c r="K40" i="4"/>
  <c r="L40" i="4" s="1"/>
  <c r="K41" i="4"/>
  <c r="L41" i="4" s="1"/>
  <c r="K42" i="4"/>
  <c r="L42" i="4" s="1"/>
  <c r="K43" i="4"/>
  <c r="L43" i="4" s="1"/>
  <c r="K44" i="4"/>
  <c r="L44" i="4" s="1"/>
  <c r="K45" i="4"/>
  <c r="K46" i="4"/>
  <c r="L46" i="4" s="1"/>
  <c r="K47" i="4"/>
  <c r="L47" i="4" s="1"/>
  <c r="K48" i="4"/>
  <c r="L48" i="4" s="1"/>
  <c r="K49" i="4"/>
  <c r="L49" i="4" s="1"/>
  <c r="K50" i="4"/>
  <c r="L50" i="4" s="1"/>
  <c r="K51" i="4"/>
  <c r="L51" i="4" s="1"/>
  <c r="K52" i="4"/>
  <c r="L52" i="4" s="1"/>
  <c r="K53" i="4"/>
  <c r="K54" i="4"/>
  <c r="L54" i="4" s="1"/>
  <c r="K55" i="4"/>
  <c r="L55" i="4" s="1"/>
  <c r="K56" i="4"/>
  <c r="L56" i="4" s="1"/>
  <c r="K57" i="4"/>
  <c r="L57" i="4" s="1"/>
  <c r="K58" i="4"/>
  <c r="L58" i="4" s="1"/>
  <c r="K59" i="4"/>
  <c r="L59" i="4" s="1"/>
  <c r="K60" i="4"/>
  <c r="L60" i="4" s="1"/>
  <c r="K61" i="4"/>
  <c r="K62" i="4"/>
  <c r="L62" i="4" s="1"/>
  <c r="K63" i="4"/>
  <c r="L63" i="4" s="1"/>
  <c r="K64" i="4"/>
  <c r="L64" i="4" s="1"/>
  <c r="K65" i="4"/>
  <c r="L65" i="4" s="1"/>
  <c r="K66" i="4"/>
  <c r="L66" i="4" s="1"/>
  <c r="K67" i="4"/>
  <c r="L67" i="4" s="1"/>
  <c r="K68" i="4"/>
  <c r="L68" i="4" s="1"/>
  <c r="K69" i="4"/>
  <c r="K70" i="4"/>
  <c r="L70" i="4" s="1"/>
  <c r="K71" i="4"/>
  <c r="L71" i="4" s="1"/>
  <c r="K72" i="4"/>
  <c r="L72" i="4" s="1"/>
  <c r="K73" i="4"/>
  <c r="L73" i="4" s="1"/>
  <c r="K74" i="4"/>
  <c r="L74" i="4" s="1"/>
  <c r="K75" i="4"/>
  <c r="L75" i="4" s="1"/>
  <c r="K76" i="4"/>
  <c r="L76" i="4" s="1"/>
  <c r="K77" i="4"/>
  <c r="K78" i="4"/>
  <c r="L78" i="4" s="1"/>
  <c r="K79" i="4"/>
  <c r="L79" i="4" s="1"/>
  <c r="K80" i="4"/>
  <c r="L80" i="4" s="1"/>
  <c r="K81" i="4"/>
  <c r="L81" i="4" s="1"/>
  <c r="K82" i="4"/>
  <c r="L82" i="4" s="1"/>
  <c r="K83" i="4"/>
  <c r="L83" i="4" s="1"/>
  <c r="K84" i="4"/>
  <c r="L84" i="4" s="1"/>
  <c r="K85" i="4"/>
  <c r="K86" i="4"/>
  <c r="L86" i="4" s="1"/>
  <c r="K87" i="4"/>
  <c r="L87" i="4" s="1"/>
  <c r="K88" i="4"/>
  <c r="L88" i="4" s="1"/>
  <c r="K89" i="4"/>
  <c r="L89" i="4" s="1"/>
  <c r="K90" i="4"/>
  <c r="L90" i="4" s="1"/>
  <c r="K91" i="4"/>
  <c r="L91" i="4" s="1"/>
  <c r="K92" i="4"/>
  <c r="L92" i="4" s="1"/>
  <c r="K93" i="4"/>
  <c r="K94" i="4"/>
  <c r="L94" i="4" s="1"/>
  <c r="K95" i="4"/>
  <c r="L95" i="4" s="1"/>
  <c r="K96" i="4"/>
  <c r="L96" i="4" s="1"/>
  <c r="K97" i="4"/>
  <c r="L97" i="4" s="1"/>
  <c r="K98" i="4"/>
  <c r="L98" i="4" s="1"/>
  <c r="K99" i="4"/>
  <c r="L99" i="4" s="1"/>
  <c r="K100" i="4"/>
  <c r="L100" i="4" s="1"/>
  <c r="K101" i="4"/>
  <c r="K102" i="4"/>
  <c r="L102" i="4" s="1"/>
  <c r="K103" i="4"/>
  <c r="L103" i="4" s="1"/>
  <c r="K104" i="4"/>
  <c r="L104" i="4" s="1"/>
  <c r="K105" i="4"/>
  <c r="L105" i="4" s="1"/>
  <c r="K106" i="4"/>
  <c r="L106" i="4" s="1"/>
  <c r="K107" i="4"/>
  <c r="L107" i="4" s="1"/>
  <c r="K108" i="4"/>
  <c r="L108" i="4" s="1"/>
  <c r="K109" i="4"/>
  <c r="K110" i="4"/>
  <c r="L110" i="4" s="1"/>
  <c r="K2" i="4"/>
  <c r="L2" i="4" s="1"/>
  <c r="N110" i="4"/>
  <c r="I110" i="4"/>
  <c r="H110" i="4"/>
  <c r="G110" i="4"/>
  <c r="F110" i="4"/>
  <c r="I109" i="4"/>
  <c r="J109" i="4" s="1"/>
  <c r="H109" i="4"/>
  <c r="G109" i="4"/>
  <c r="N109" i="4" s="1"/>
  <c r="F109" i="4"/>
  <c r="I108" i="4"/>
  <c r="H108" i="4"/>
  <c r="G108" i="4"/>
  <c r="F108" i="4"/>
  <c r="I107" i="4"/>
  <c r="J107" i="4" s="1"/>
  <c r="H107" i="4"/>
  <c r="G107" i="4"/>
  <c r="N107" i="4" s="1"/>
  <c r="F107" i="4"/>
  <c r="I106" i="4"/>
  <c r="H106" i="4"/>
  <c r="G106" i="4"/>
  <c r="F106" i="4"/>
  <c r="I105" i="4"/>
  <c r="J105" i="4" s="1"/>
  <c r="H105" i="4"/>
  <c r="G105" i="4"/>
  <c r="N105" i="4" s="1"/>
  <c r="F105" i="4"/>
  <c r="I104" i="4"/>
  <c r="H104" i="4"/>
  <c r="G104" i="4"/>
  <c r="F104" i="4"/>
  <c r="I103" i="4"/>
  <c r="J103" i="4" s="1"/>
  <c r="H103" i="4"/>
  <c r="G103" i="4"/>
  <c r="N103" i="4" s="1"/>
  <c r="F103" i="4"/>
  <c r="I102" i="4"/>
  <c r="H102" i="4"/>
  <c r="G102" i="4"/>
  <c r="F102" i="4"/>
  <c r="I101" i="4"/>
  <c r="J101" i="4" s="1"/>
  <c r="H101" i="4"/>
  <c r="G101" i="4"/>
  <c r="N101" i="4" s="1"/>
  <c r="F101" i="4"/>
  <c r="I100" i="4"/>
  <c r="H100" i="4"/>
  <c r="G100" i="4"/>
  <c r="F100" i="4"/>
  <c r="I99" i="4"/>
  <c r="J99" i="4" s="1"/>
  <c r="H99" i="4"/>
  <c r="G99" i="4"/>
  <c r="N99" i="4" s="1"/>
  <c r="F99" i="4"/>
  <c r="I98" i="4"/>
  <c r="H98" i="4"/>
  <c r="G98" i="4"/>
  <c r="F98" i="4"/>
  <c r="I97" i="4"/>
  <c r="J97" i="4" s="1"/>
  <c r="H97" i="4"/>
  <c r="G97" i="4"/>
  <c r="N97" i="4" s="1"/>
  <c r="F97" i="4"/>
  <c r="I96" i="4"/>
  <c r="H96" i="4"/>
  <c r="G96" i="4"/>
  <c r="F96" i="4"/>
  <c r="I95" i="4"/>
  <c r="J95" i="4" s="1"/>
  <c r="H95" i="4"/>
  <c r="G95" i="4"/>
  <c r="N95" i="4" s="1"/>
  <c r="F95" i="4"/>
  <c r="I94" i="4"/>
  <c r="H94" i="4"/>
  <c r="G94" i="4"/>
  <c r="F94" i="4"/>
  <c r="I93" i="4"/>
  <c r="J93" i="4" s="1"/>
  <c r="H93" i="4"/>
  <c r="G93" i="4"/>
  <c r="N93" i="4" s="1"/>
  <c r="F93" i="4"/>
  <c r="I92" i="4"/>
  <c r="H92" i="4"/>
  <c r="G92" i="4"/>
  <c r="F92" i="4"/>
  <c r="I91" i="4"/>
  <c r="J91" i="4" s="1"/>
  <c r="H91" i="4"/>
  <c r="G91" i="4"/>
  <c r="N91" i="4" s="1"/>
  <c r="F91" i="4"/>
  <c r="I90" i="4"/>
  <c r="H90" i="4"/>
  <c r="G90" i="4"/>
  <c r="F90" i="4"/>
  <c r="I89" i="4"/>
  <c r="J89" i="4" s="1"/>
  <c r="H89" i="4"/>
  <c r="G89" i="4"/>
  <c r="N89" i="4" s="1"/>
  <c r="F89" i="4"/>
  <c r="I88" i="4"/>
  <c r="H88" i="4"/>
  <c r="G88" i="4"/>
  <c r="F88" i="4"/>
  <c r="I87" i="4"/>
  <c r="J87" i="4" s="1"/>
  <c r="H87" i="4"/>
  <c r="G87" i="4"/>
  <c r="N87" i="4" s="1"/>
  <c r="F87" i="4"/>
  <c r="I86" i="4"/>
  <c r="H86" i="4"/>
  <c r="G86" i="4"/>
  <c r="F86" i="4"/>
  <c r="I85" i="4"/>
  <c r="J85" i="4" s="1"/>
  <c r="H85" i="4"/>
  <c r="G85" i="4"/>
  <c r="N85" i="4" s="1"/>
  <c r="F85" i="4"/>
  <c r="I84" i="4"/>
  <c r="H84" i="4"/>
  <c r="G84" i="4"/>
  <c r="F84" i="4"/>
  <c r="I83" i="4"/>
  <c r="J83" i="4" s="1"/>
  <c r="H83" i="4"/>
  <c r="G83" i="4"/>
  <c r="N83" i="4" s="1"/>
  <c r="F83" i="4"/>
  <c r="I82" i="4"/>
  <c r="H82" i="4"/>
  <c r="G82" i="4"/>
  <c r="F82" i="4"/>
  <c r="I81" i="4"/>
  <c r="J81" i="4" s="1"/>
  <c r="H81" i="4"/>
  <c r="G81" i="4"/>
  <c r="N81" i="4" s="1"/>
  <c r="F81" i="4"/>
  <c r="I80" i="4"/>
  <c r="H80" i="4"/>
  <c r="G80" i="4"/>
  <c r="F80" i="4"/>
  <c r="I79" i="4"/>
  <c r="J79" i="4" s="1"/>
  <c r="H79" i="4"/>
  <c r="G79" i="4"/>
  <c r="N79" i="4" s="1"/>
  <c r="F79" i="4"/>
  <c r="I78" i="4"/>
  <c r="H78" i="4"/>
  <c r="G78" i="4"/>
  <c r="F78" i="4"/>
  <c r="I77" i="4"/>
  <c r="J77" i="4" s="1"/>
  <c r="H77" i="4"/>
  <c r="G77" i="4"/>
  <c r="N77" i="4" s="1"/>
  <c r="F77" i="4"/>
  <c r="I76" i="4"/>
  <c r="H76" i="4"/>
  <c r="G76" i="4"/>
  <c r="F76" i="4"/>
  <c r="I75" i="4"/>
  <c r="J75" i="4" s="1"/>
  <c r="H75" i="4"/>
  <c r="G75" i="4"/>
  <c r="N75" i="4" s="1"/>
  <c r="F75" i="4"/>
  <c r="I74" i="4"/>
  <c r="H74" i="4"/>
  <c r="G74" i="4"/>
  <c r="F74" i="4"/>
  <c r="I73" i="4"/>
  <c r="J73" i="4" s="1"/>
  <c r="H73" i="4"/>
  <c r="G73" i="4"/>
  <c r="N73" i="4" s="1"/>
  <c r="F73" i="4"/>
  <c r="I72" i="4"/>
  <c r="H72" i="4"/>
  <c r="G72" i="4"/>
  <c r="F72" i="4"/>
  <c r="I71" i="4"/>
  <c r="J71" i="4" s="1"/>
  <c r="H71" i="4"/>
  <c r="G71" i="4"/>
  <c r="N71" i="4" s="1"/>
  <c r="F71" i="4"/>
  <c r="I70" i="4"/>
  <c r="H70" i="4"/>
  <c r="G70" i="4"/>
  <c r="F70" i="4"/>
  <c r="I69" i="4"/>
  <c r="J69" i="4" s="1"/>
  <c r="H69" i="4"/>
  <c r="G69" i="4"/>
  <c r="N69" i="4" s="1"/>
  <c r="F69" i="4"/>
  <c r="I68" i="4"/>
  <c r="H68" i="4"/>
  <c r="G68" i="4"/>
  <c r="F68" i="4"/>
  <c r="I67" i="4"/>
  <c r="J67" i="4" s="1"/>
  <c r="H67" i="4"/>
  <c r="G67" i="4"/>
  <c r="N67" i="4" s="1"/>
  <c r="F67" i="4"/>
  <c r="I66" i="4"/>
  <c r="H66" i="4"/>
  <c r="G66" i="4"/>
  <c r="F66" i="4"/>
  <c r="I65" i="4"/>
  <c r="J65" i="4" s="1"/>
  <c r="H65" i="4"/>
  <c r="G65" i="4"/>
  <c r="N65" i="4" s="1"/>
  <c r="F65" i="4"/>
  <c r="I64" i="4"/>
  <c r="H64" i="4"/>
  <c r="G64" i="4"/>
  <c r="F64" i="4"/>
  <c r="I63" i="4"/>
  <c r="J63" i="4" s="1"/>
  <c r="H63" i="4"/>
  <c r="G63" i="4"/>
  <c r="N63" i="4" s="1"/>
  <c r="F63" i="4"/>
  <c r="I62" i="4"/>
  <c r="H62" i="4"/>
  <c r="G62" i="4"/>
  <c r="F62" i="4"/>
  <c r="I61" i="4"/>
  <c r="J61" i="4" s="1"/>
  <c r="H61" i="4"/>
  <c r="G61" i="4"/>
  <c r="N61" i="4" s="1"/>
  <c r="F61" i="4"/>
  <c r="I60" i="4"/>
  <c r="H60" i="4"/>
  <c r="G60" i="4"/>
  <c r="F60" i="4"/>
  <c r="I59" i="4"/>
  <c r="J59" i="4" s="1"/>
  <c r="H59" i="4"/>
  <c r="G59" i="4"/>
  <c r="N59" i="4" s="1"/>
  <c r="F59" i="4"/>
  <c r="I58" i="4"/>
  <c r="H58" i="4"/>
  <c r="G58" i="4"/>
  <c r="F58" i="4"/>
  <c r="I57" i="4"/>
  <c r="J57" i="4" s="1"/>
  <c r="H57" i="4"/>
  <c r="G57" i="4"/>
  <c r="N57" i="4" s="1"/>
  <c r="F57" i="4"/>
  <c r="I56" i="4"/>
  <c r="H56" i="4"/>
  <c r="G56" i="4"/>
  <c r="F56" i="4"/>
  <c r="I55" i="4"/>
  <c r="J55" i="4" s="1"/>
  <c r="H55" i="4"/>
  <c r="G55" i="4"/>
  <c r="N55" i="4" s="1"/>
  <c r="F55" i="4"/>
  <c r="I54" i="4"/>
  <c r="H54" i="4"/>
  <c r="G54" i="4"/>
  <c r="F54" i="4"/>
  <c r="I53" i="4"/>
  <c r="J53" i="4" s="1"/>
  <c r="H53" i="4"/>
  <c r="G53" i="4"/>
  <c r="N53" i="4" s="1"/>
  <c r="F53" i="4"/>
  <c r="I52" i="4"/>
  <c r="H52" i="4"/>
  <c r="G52" i="4"/>
  <c r="F52" i="4"/>
  <c r="I51" i="4"/>
  <c r="J51" i="4" s="1"/>
  <c r="H51" i="4"/>
  <c r="G51" i="4"/>
  <c r="N51" i="4" s="1"/>
  <c r="F51" i="4"/>
  <c r="I50" i="4"/>
  <c r="H50" i="4"/>
  <c r="G50" i="4"/>
  <c r="F50" i="4"/>
  <c r="I49" i="4"/>
  <c r="J49" i="4" s="1"/>
  <c r="H49" i="4"/>
  <c r="G49" i="4"/>
  <c r="N49" i="4" s="1"/>
  <c r="F49" i="4"/>
  <c r="I48" i="4"/>
  <c r="H48" i="4"/>
  <c r="G48" i="4"/>
  <c r="F48" i="4"/>
  <c r="I47" i="4"/>
  <c r="J47" i="4" s="1"/>
  <c r="H47" i="4"/>
  <c r="G47" i="4"/>
  <c r="N47" i="4" s="1"/>
  <c r="F47" i="4"/>
  <c r="I46" i="4"/>
  <c r="H46" i="4"/>
  <c r="G46" i="4"/>
  <c r="F46" i="4"/>
  <c r="I45" i="4"/>
  <c r="J45" i="4" s="1"/>
  <c r="H45" i="4"/>
  <c r="G45" i="4"/>
  <c r="N45" i="4" s="1"/>
  <c r="F45" i="4"/>
  <c r="I44" i="4"/>
  <c r="H44" i="4"/>
  <c r="G44" i="4"/>
  <c r="F44" i="4"/>
  <c r="I43" i="4"/>
  <c r="H43" i="4"/>
  <c r="G43" i="4"/>
  <c r="F43" i="4"/>
  <c r="I42" i="4"/>
  <c r="H42" i="4"/>
  <c r="G42" i="4"/>
  <c r="F42" i="4"/>
  <c r="I41" i="4"/>
  <c r="H41" i="4"/>
  <c r="G41" i="4"/>
  <c r="N41" i="4" s="1"/>
  <c r="F41" i="4"/>
  <c r="I40" i="4"/>
  <c r="J40" i="4" s="1"/>
  <c r="H40" i="4"/>
  <c r="G40" i="4"/>
  <c r="N40" i="4" s="1"/>
  <c r="F40" i="4"/>
  <c r="I39" i="4"/>
  <c r="J39" i="4" s="1"/>
  <c r="H39" i="4"/>
  <c r="G39" i="4"/>
  <c r="N39" i="4" s="1"/>
  <c r="F39" i="4"/>
  <c r="I38" i="4"/>
  <c r="J38" i="4" s="1"/>
  <c r="H38" i="4"/>
  <c r="G38" i="4"/>
  <c r="N38" i="4" s="1"/>
  <c r="F38" i="4"/>
  <c r="I37" i="4"/>
  <c r="J37" i="4" s="1"/>
  <c r="H37" i="4"/>
  <c r="G37" i="4"/>
  <c r="N37" i="4" s="1"/>
  <c r="F37" i="4"/>
  <c r="I36" i="4"/>
  <c r="J36" i="4" s="1"/>
  <c r="H36" i="4"/>
  <c r="G36" i="4"/>
  <c r="N36" i="4" s="1"/>
  <c r="F36" i="4"/>
  <c r="I35" i="4"/>
  <c r="J35" i="4" s="1"/>
  <c r="H35" i="4"/>
  <c r="G35" i="4"/>
  <c r="F35" i="4"/>
  <c r="I34" i="4"/>
  <c r="J34" i="4" s="1"/>
  <c r="H34" i="4"/>
  <c r="G34" i="4"/>
  <c r="N34" i="4" s="1"/>
  <c r="F34" i="4"/>
  <c r="I33" i="4"/>
  <c r="J33" i="4" s="1"/>
  <c r="H33" i="4"/>
  <c r="G33" i="4"/>
  <c r="N33" i="4" s="1"/>
  <c r="F33" i="4"/>
  <c r="I32" i="4"/>
  <c r="J32" i="4" s="1"/>
  <c r="H32" i="4"/>
  <c r="G32" i="4"/>
  <c r="N32" i="4" s="1"/>
  <c r="F32" i="4"/>
  <c r="I31" i="4"/>
  <c r="J31" i="4" s="1"/>
  <c r="H31" i="4"/>
  <c r="G31" i="4"/>
  <c r="N31" i="4" s="1"/>
  <c r="F31" i="4"/>
  <c r="I30" i="4"/>
  <c r="J30" i="4" s="1"/>
  <c r="H30" i="4"/>
  <c r="G30" i="4"/>
  <c r="N30" i="4" s="1"/>
  <c r="F30" i="4"/>
  <c r="I29" i="4"/>
  <c r="J29" i="4" s="1"/>
  <c r="H29" i="4"/>
  <c r="G29" i="4"/>
  <c r="N29" i="4" s="1"/>
  <c r="F29" i="4"/>
  <c r="I28" i="4"/>
  <c r="J28" i="4" s="1"/>
  <c r="H28" i="4"/>
  <c r="G28" i="4"/>
  <c r="N28" i="4" s="1"/>
  <c r="F28" i="4"/>
  <c r="I27" i="4"/>
  <c r="J27" i="4" s="1"/>
  <c r="H27" i="4"/>
  <c r="G27" i="4"/>
  <c r="N27" i="4" s="1"/>
  <c r="F27" i="4"/>
  <c r="I26" i="4"/>
  <c r="J26" i="4" s="1"/>
  <c r="H26" i="4"/>
  <c r="G26" i="4"/>
  <c r="N26" i="4" s="1"/>
  <c r="F26" i="4"/>
  <c r="I25" i="4"/>
  <c r="J25" i="4" s="1"/>
  <c r="H25" i="4"/>
  <c r="G25" i="4"/>
  <c r="N25" i="4" s="1"/>
  <c r="F25" i="4"/>
  <c r="I24" i="4"/>
  <c r="J24" i="4" s="1"/>
  <c r="H24" i="4"/>
  <c r="G24" i="4"/>
  <c r="N24" i="4" s="1"/>
  <c r="F24" i="4"/>
  <c r="I23" i="4"/>
  <c r="J23" i="4" s="1"/>
  <c r="H23" i="4"/>
  <c r="G23" i="4"/>
  <c r="N23" i="4" s="1"/>
  <c r="F23" i="4"/>
  <c r="I22" i="4"/>
  <c r="J22" i="4" s="1"/>
  <c r="H22" i="4"/>
  <c r="G22" i="4"/>
  <c r="N22" i="4" s="1"/>
  <c r="F22" i="4"/>
  <c r="I21" i="4"/>
  <c r="J21" i="4" s="1"/>
  <c r="H21" i="4"/>
  <c r="G21" i="4"/>
  <c r="N21" i="4" s="1"/>
  <c r="F21" i="4"/>
  <c r="I20" i="4"/>
  <c r="J20" i="4" s="1"/>
  <c r="H20" i="4"/>
  <c r="G20" i="4"/>
  <c r="N20" i="4" s="1"/>
  <c r="F20" i="4"/>
  <c r="I19" i="4"/>
  <c r="J19" i="4" s="1"/>
  <c r="H19" i="4"/>
  <c r="G19" i="4"/>
  <c r="N19" i="4" s="1"/>
  <c r="F19" i="4"/>
  <c r="I18" i="4"/>
  <c r="J18" i="4" s="1"/>
  <c r="H18" i="4"/>
  <c r="G18" i="4"/>
  <c r="N18" i="4" s="1"/>
  <c r="F18" i="4"/>
  <c r="I17" i="4"/>
  <c r="J17" i="4" s="1"/>
  <c r="H17" i="4"/>
  <c r="G17" i="4"/>
  <c r="N17" i="4" s="1"/>
  <c r="F17" i="4"/>
  <c r="I16" i="4"/>
  <c r="J16" i="4" s="1"/>
  <c r="H16" i="4"/>
  <c r="G16" i="4"/>
  <c r="N16" i="4" s="1"/>
  <c r="F16" i="4"/>
  <c r="I15" i="4"/>
  <c r="J15" i="4" s="1"/>
  <c r="H15" i="4"/>
  <c r="G15" i="4"/>
  <c r="N15" i="4" s="1"/>
  <c r="F15" i="4"/>
  <c r="I14" i="4"/>
  <c r="J14" i="4" s="1"/>
  <c r="H14" i="4"/>
  <c r="G14" i="4"/>
  <c r="N14" i="4" s="1"/>
  <c r="F14" i="4"/>
  <c r="I13" i="4"/>
  <c r="J13" i="4" s="1"/>
  <c r="H13" i="4"/>
  <c r="G13" i="4"/>
  <c r="N13" i="4" s="1"/>
  <c r="F13" i="4"/>
  <c r="I12" i="4"/>
  <c r="J12" i="4" s="1"/>
  <c r="H12" i="4"/>
  <c r="G12" i="4"/>
  <c r="N12" i="4" s="1"/>
  <c r="F12" i="4"/>
  <c r="I11" i="4"/>
  <c r="J11" i="4" s="1"/>
  <c r="H11" i="4"/>
  <c r="G11" i="4"/>
  <c r="N11" i="4" s="1"/>
  <c r="F11" i="4"/>
  <c r="I10" i="4"/>
  <c r="J10" i="4" s="1"/>
  <c r="H10" i="4"/>
  <c r="G10" i="4"/>
  <c r="N10" i="4" s="1"/>
  <c r="F10" i="4"/>
  <c r="I9" i="4"/>
  <c r="J9" i="4" s="1"/>
  <c r="H9" i="4"/>
  <c r="G9" i="4"/>
  <c r="N9" i="4" s="1"/>
  <c r="F9" i="4"/>
  <c r="I8" i="4"/>
  <c r="H8" i="4"/>
  <c r="G8" i="4"/>
  <c r="N8" i="4" s="1"/>
  <c r="F8" i="4"/>
  <c r="I7" i="4"/>
  <c r="J7" i="4" s="1"/>
  <c r="H7" i="4"/>
  <c r="G7" i="4"/>
  <c r="N7" i="4" s="1"/>
  <c r="F7" i="4"/>
  <c r="I6" i="4"/>
  <c r="H6" i="4"/>
  <c r="G6" i="4"/>
  <c r="F6" i="4"/>
  <c r="I5" i="4"/>
  <c r="J5" i="4" s="1"/>
  <c r="H5" i="4"/>
  <c r="G5" i="4"/>
  <c r="N5" i="4" s="1"/>
  <c r="F5" i="4"/>
  <c r="I4" i="4"/>
  <c r="H4" i="4"/>
  <c r="G4" i="4"/>
  <c r="N4" i="4" s="1"/>
  <c r="F4" i="4"/>
  <c r="I3" i="4"/>
  <c r="J3" i="4" s="1"/>
  <c r="H3" i="4"/>
  <c r="G3" i="4"/>
  <c r="N3" i="4" s="1"/>
  <c r="F3" i="4"/>
  <c r="I2" i="4"/>
  <c r="H2" i="4"/>
  <c r="G2" i="4"/>
  <c r="F2" i="4"/>
  <c r="C45" i="9" l="1"/>
  <c r="C85" i="8"/>
  <c r="C86" i="8"/>
  <c r="C46" i="9"/>
  <c r="C27" i="9"/>
  <c r="C28" i="9"/>
  <c r="C67" i="8"/>
  <c r="C68" i="8"/>
  <c r="C26" i="9"/>
  <c r="C25" i="9"/>
  <c r="C66" i="8"/>
  <c r="C65" i="8"/>
  <c r="C87" i="8"/>
  <c r="C88" i="8"/>
  <c r="L6" i="6"/>
  <c r="M6" i="6" s="1"/>
  <c r="L5" i="6"/>
  <c r="M5" i="6" s="1"/>
  <c r="L7" i="6"/>
  <c r="M7" i="6" s="1"/>
  <c r="L8" i="6"/>
  <c r="M8" i="6" s="1"/>
  <c r="J43" i="4"/>
  <c r="D46" i="8"/>
  <c r="E46" i="8" s="1"/>
  <c r="D45" i="8"/>
  <c r="E45" i="8" s="1"/>
  <c r="D5" i="6"/>
  <c r="F5" i="6" s="1"/>
  <c r="G5" i="6" s="1"/>
  <c r="D6" i="6"/>
  <c r="F6" i="6" s="1"/>
  <c r="G6" i="6" s="1"/>
  <c r="D8" i="6"/>
  <c r="F8" i="6" s="1"/>
  <c r="G8" i="6" s="1"/>
  <c r="D7" i="6"/>
  <c r="F7" i="6" s="1"/>
  <c r="G7" i="6" s="1"/>
  <c r="E58" i="9"/>
  <c r="E99" i="8"/>
  <c r="E98" i="8"/>
  <c r="E59" i="9"/>
  <c r="E100" i="8"/>
  <c r="E101" i="8"/>
  <c r="F101" i="8" s="1"/>
  <c r="C6" i="6"/>
  <c r="C5" i="6"/>
  <c r="C8" i="6"/>
  <c r="C7" i="6"/>
  <c r="J110" i="4"/>
  <c r="N35" i="4"/>
  <c r="G46" i="9"/>
  <c r="B52" i="9" s="1"/>
  <c r="C52" i="9" s="1"/>
  <c r="G45" i="9"/>
  <c r="B51" i="9" s="1"/>
  <c r="C51" i="9" s="1"/>
  <c r="N43" i="4"/>
  <c r="G47" i="9"/>
  <c r="B53" i="9" s="1"/>
  <c r="C53" i="9" s="1"/>
  <c r="G48" i="9"/>
  <c r="B54" i="9" s="1"/>
  <c r="C54" i="9" s="1"/>
  <c r="C48" i="9"/>
  <c r="C47" i="9"/>
  <c r="C59" i="9"/>
  <c r="F25" i="9"/>
  <c r="C58" i="9"/>
  <c r="F26" i="9"/>
  <c r="C98" i="8"/>
  <c r="C99" i="8"/>
  <c r="F99" i="8" s="1"/>
  <c r="F65" i="8"/>
  <c r="F66" i="8"/>
  <c r="D15" i="8"/>
  <c r="D14" i="8"/>
  <c r="C60" i="9"/>
  <c r="F28" i="9"/>
  <c r="F27" i="9"/>
  <c r="C61" i="9"/>
  <c r="C101" i="8"/>
  <c r="C100" i="8"/>
  <c r="F68" i="8"/>
  <c r="F67" i="8"/>
  <c r="D16" i="8"/>
  <c r="D17" i="8"/>
  <c r="E61" i="9"/>
  <c r="F61" i="9" s="1"/>
  <c r="E60" i="9"/>
  <c r="C12" i="6"/>
  <c r="C11" i="6"/>
  <c r="C14" i="6"/>
  <c r="C13" i="6"/>
  <c r="J41" i="4"/>
  <c r="D43" i="8"/>
  <c r="E43" i="8" s="1"/>
  <c r="D44" i="8"/>
  <c r="E44" i="8" s="1"/>
  <c r="J2" i="4"/>
  <c r="J6" i="4"/>
  <c r="J42" i="4"/>
  <c r="J44" i="4"/>
  <c r="J46" i="4"/>
  <c r="J48" i="4"/>
  <c r="J50" i="4"/>
  <c r="J52" i="4"/>
  <c r="J54" i="4"/>
  <c r="J56" i="4"/>
  <c r="J58" i="4"/>
  <c r="J60" i="4"/>
  <c r="J62" i="4"/>
  <c r="J64" i="4"/>
  <c r="J66" i="4"/>
  <c r="J68" i="4"/>
  <c r="J70" i="4"/>
  <c r="J72" i="4"/>
  <c r="J74" i="4"/>
  <c r="J76" i="4"/>
  <c r="J78" i="4"/>
  <c r="J80" i="4"/>
  <c r="J82" i="4"/>
  <c r="J84" i="4"/>
  <c r="J86" i="4"/>
  <c r="J88" i="4"/>
  <c r="J90" i="4"/>
  <c r="J92" i="4"/>
  <c r="J94" i="4"/>
  <c r="J96" i="4"/>
  <c r="J98" i="4"/>
  <c r="J100" i="4"/>
  <c r="J102" i="4"/>
  <c r="J104" i="4"/>
  <c r="J106" i="4"/>
  <c r="J108" i="4"/>
  <c r="N2" i="4"/>
  <c r="N42" i="4"/>
  <c r="N44" i="4"/>
  <c r="N46" i="4"/>
  <c r="N48" i="4"/>
  <c r="N50" i="4"/>
  <c r="N52" i="4"/>
  <c r="N54" i="4"/>
  <c r="N56" i="4"/>
  <c r="N58" i="4"/>
  <c r="N60" i="4"/>
  <c r="N62" i="4"/>
  <c r="N64" i="4"/>
  <c r="N66" i="4"/>
  <c r="N68" i="4"/>
  <c r="N70" i="4"/>
  <c r="N72" i="4"/>
  <c r="N74" i="4"/>
  <c r="N76" i="4"/>
  <c r="N78" i="4"/>
  <c r="N80" i="4"/>
  <c r="N82" i="4"/>
  <c r="N84" i="4"/>
  <c r="N86" i="4"/>
  <c r="N88" i="4"/>
  <c r="N90" i="4"/>
  <c r="N92" i="4"/>
  <c r="N94" i="4"/>
  <c r="N96" i="4"/>
  <c r="N98" i="4"/>
  <c r="N100" i="4"/>
  <c r="N102" i="4"/>
  <c r="N104" i="4"/>
  <c r="N106" i="4"/>
  <c r="N108" i="4"/>
  <c r="N6" i="4"/>
  <c r="J4" i="4"/>
  <c r="J8" i="4"/>
  <c r="D11" i="6" l="1"/>
  <c r="D12" i="6"/>
  <c r="F14" i="8"/>
  <c r="E14" i="8"/>
  <c r="G14" i="8" s="1"/>
  <c r="F100" i="8"/>
  <c r="D88" i="8"/>
  <c r="E88" i="8"/>
  <c r="B94" i="8" s="1"/>
  <c r="C94" i="8" s="1"/>
  <c r="E28" i="9"/>
  <c r="B34" i="9" s="1"/>
  <c r="C34" i="9" s="1"/>
  <c r="D28" i="9"/>
  <c r="D67" i="8"/>
  <c r="E67" i="8"/>
  <c r="E15" i="8"/>
  <c r="F15" i="8"/>
  <c r="F59" i="9"/>
  <c r="G45" i="8"/>
  <c r="G37" i="8"/>
  <c r="B59" i="8" s="1"/>
  <c r="C59" i="8" s="1"/>
  <c r="D87" i="8"/>
  <c r="E87" i="8"/>
  <c r="B93" i="8" s="1"/>
  <c r="C93" i="8" s="1"/>
  <c r="D27" i="9"/>
  <c r="E27" i="9"/>
  <c r="B33" i="9" s="1"/>
  <c r="C33" i="9" s="1"/>
  <c r="G44" i="8"/>
  <c r="G36" i="8"/>
  <c r="B58" i="8" s="1"/>
  <c r="C58" i="8" s="1"/>
  <c r="E16" i="8"/>
  <c r="F16" i="8"/>
  <c r="J7" i="6"/>
  <c r="K7" i="6" s="1"/>
  <c r="J8" i="6"/>
  <c r="K8" i="6" s="1"/>
  <c r="D47" i="9"/>
  <c r="E47" i="9"/>
  <c r="D53" i="9" s="1"/>
  <c r="E53" i="9" s="1"/>
  <c r="F98" i="8"/>
  <c r="G46" i="8"/>
  <c r="G38" i="8"/>
  <c r="B60" i="8" s="1"/>
  <c r="C60" i="8" s="1"/>
  <c r="D65" i="8"/>
  <c r="E65" i="8"/>
  <c r="D48" i="9"/>
  <c r="E48" i="9"/>
  <c r="D54" i="9" s="1"/>
  <c r="E54" i="9" s="1"/>
  <c r="D13" i="6"/>
  <c r="D66" i="8"/>
  <c r="E66" i="8"/>
  <c r="D46" i="9"/>
  <c r="E46" i="9"/>
  <c r="D52" i="9" s="1"/>
  <c r="E52" i="9" s="1"/>
  <c r="J6" i="6"/>
  <c r="K6" i="6" s="1"/>
  <c r="J5" i="6"/>
  <c r="K5" i="6" s="1"/>
  <c r="F60" i="9"/>
  <c r="D14" i="6"/>
  <c r="F58" i="9"/>
  <c r="D25" i="9"/>
  <c r="E25" i="9"/>
  <c r="B31" i="9" s="1"/>
  <c r="C31" i="9" s="1"/>
  <c r="D86" i="8"/>
  <c r="E86" i="8"/>
  <c r="B92" i="8" s="1"/>
  <c r="C92" i="8" s="1"/>
  <c r="E26" i="9"/>
  <c r="B32" i="9" s="1"/>
  <c r="C32" i="9" s="1"/>
  <c r="D26" i="9"/>
  <c r="D85" i="8"/>
  <c r="E85" i="8"/>
  <c r="B91" i="8" s="1"/>
  <c r="C91" i="8" s="1"/>
  <c r="G43" i="8"/>
  <c r="G35" i="8"/>
  <c r="B57" i="8" s="1"/>
  <c r="C57" i="8" s="1"/>
  <c r="E17" i="8"/>
  <c r="G17" i="8" s="1"/>
  <c r="F17" i="8"/>
  <c r="D68" i="8"/>
  <c r="E68" i="8"/>
  <c r="D45" i="9"/>
  <c r="E45" i="9"/>
  <c r="D51" i="9" s="1"/>
  <c r="E51" i="9" s="1"/>
  <c r="C4" i="2"/>
  <c r="D32" i="2" s="1"/>
  <c r="C3" i="2"/>
  <c r="B32" i="2" s="1"/>
  <c r="D8" i="2"/>
  <c r="B15" i="2" s="1"/>
  <c r="B25" i="2" s="1"/>
  <c r="C8" i="2"/>
  <c r="B12" i="2" s="1"/>
  <c r="B24" i="2" s="1"/>
  <c r="B8" i="2"/>
  <c r="B14" i="2" s="1"/>
  <c r="A8" i="2"/>
  <c r="B11" i="2" s="1"/>
  <c r="B5" i="3"/>
  <c r="B4" i="2" s="1"/>
  <c r="B4" i="3"/>
  <c r="B3" i="3"/>
  <c r="B2" i="3"/>
  <c r="B3" i="2" s="1"/>
  <c r="E6" i="1"/>
  <c r="C33" i="1"/>
  <c r="C32" i="1"/>
  <c r="D26" i="1"/>
  <c r="E26" i="1" s="1"/>
  <c r="D25" i="1"/>
  <c r="E25" i="1" s="1"/>
  <c r="D24" i="1"/>
  <c r="E24" i="1" s="1"/>
  <c r="D23" i="1"/>
  <c r="E23" i="1" s="1"/>
  <c r="D22" i="1"/>
  <c r="E22" i="1" s="1"/>
  <c r="D20" i="1"/>
  <c r="E20" i="1" s="1"/>
  <c r="D19" i="1"/>
  <c r="E19" i="1" s="1"/>
  <c r="D18" i="1"/>
  <c r="E18" i="1" s="1"/>
  <c r="D17" i="1"/>
  <c r="E17" i="1" s="1"/>
  <c r="D16" i="1"/>
  <c r="E16" i="1" s="1"/>
  <c r="D13" i="1"/>
  <c r="E13" i="1" s="1"/>
  <c r="D5" i="1"/>
  <c r="E5" i="1" s="1"/>
  <c r="D14" i="1"/>
  <c r="E14" i="1" s="1"/>
  <c r="D11" i="1"/>
  <c r="E11" i="1" s="1"/>
  <c r="D12" i="1"/>
  <c r="E12" i="1" s="1"/>
  <c r="D10" i="1"/>
  <c r="E10" i="1" s="1"/>
  <c r="D3" i="1"/>
  <c r="E3" i="1" s="1"/>
  <c r="D4" i="1"/>
  <c r="E4" i="1" s="1"/>
  <c r="D2" i="1"/>
  <c r="E2" i="1" s="1"/>
  <c r="G16" i="8" l="1"/>
  <c r="G15" i="8"/>
  <c r="B73" i="8"/>
  <c r="C73" i="8" s="1"/>
  <c r="B71" i="8"/>
  <c r="C71" i="8" s="1"/>
  <c r="B74" i="8"/>
  <c r="C74" i="8" s="1"/>
  <c r="C29" i="2"/>
  <c r="B72" i="8"/>
  <c r="C72" i="8" s="1"/>
  <c r="B30" i="2"/>
  <c r="F29" i="2"/>
  <c r="B37" i="2"/>
  <c r="A37" i="2"/>
  <c r="E30" i="2"/>
  <c r="B23" i="2"/>
  <c r="B22" i="2"/>
  <c r="E27" i="1"/>
  <c r="B16" i="5" s="1"/>
  <c r="C16" i="5" s="1"/>
  <c r="E15" i="1"/>
  <c r="B14" i="5" s="1"/>
  <c r="C14" i="5" s="1"/>
  <c r="E21" i="1"/>
  <c r="B15" i="5" s="1"/>
  <c r="E15" i="5" s="1"/>
  <c r="E9" i="1"/>
  <c r="B13" i="5" s="1"/>
  <c r="D14" i="5" l="1"/>
  <c r="D16" i="5"/>
  <c r="E14" i="5"/>
  <c r="C15" i="5"/>
  <c r="E16" i="5"/>
  <c r="D15" i="5"/>
  <c r="B8" i="5"/>
  <c r="B60" i="2"/>
  <c r="D60" i="2" s="1"/>
  <c r="B69" i="2"/>
  <c r="D69" i="2" s="1"/>
  <c r="B10" i="5"/>
  <c r="B62" i="2"/>
  <c r="D62" i="2" s="1"/>
  <c r="B71" i="2"/>
  <c r="D71" i="2" s="1"/>
  <c r="B7" i="5"/>
  <c r="B59" i="2"/>
  <c r="B68" i="2"/>
  <c r="B9" i="5"/>
  <c r="B70" i="2"/>
  <c r="D70" i="2" s="1"/>
  <c r="B61" i="2"/>
  <c r="D61" i="2" s="1"/>
  <c r="D50" i="2"/>
  <c r="B50" i="2"/>
  <c r="F27" i="2"/>
  <c r="C27" i="2"/>
  <c r="E28" i="1"/>
  <c r="D51" i="2" l="1"/>
  <c r="B51" i="2"/>
  <c r="E10" i="5"/>
  <c r="D10" i="5"/>
  <c r="C10" i="5"/>
  <c r="D7" i="5"/>
  <c r="C9" i="5"/>
  <c r="D9" i="5"/>
  <c r="E9" i="5"/>
  <c r="D68" i="2"/>
  <c r="B72" i="2"/>
  <c r="D8" i="5"/>
  <c r="C8" i="5"/>
  <c r="E8" i="5"/>
  <c r="B63" i="2"/>
  <c r="D59" i="2"/>
  <c r="E13" i="5"/>
  <c r="D13" i="5"/>
  <c r="C13" i="5"/>
  <c r="B28" i="2"/>
  <c r="B35" i="2"/>
  <c r="A35" i="2"/>
  <c r="E28" i="2"/>
  <c r="D72" i="2" l="1"/>
  <c r="D63" i="2"/>
  <c r="D43" i="2"/>
  <c r="D44" i="2" s="1"/>
  <c r="B43" i="2"/>
  <c r="B44" i="2" s="1"/>
  <c r="E71" i="2" l="1"/>
  <c r="E61" i="2"/>
  <c r="E69" i="2"/>
  <c r="E62" i="2"/>
  <c r="E60" i="2"/>
  <c r="E70" i="2"/>
  <c r="E68" i="2"/>
  <c r="E59" i="2"/>
  <c r="D47" i="2"/>
  <c r="D54" i="2" s="1"/>
  <c r="C73" i="2" s="1"/>
  <c r="B47" i="2"/>
  <c r="B54" i="2" s="1"/>
  <c r="C64" i="2" s="1"/>
  <c r="F70" i="2" l="1"/>
  <c r="E63" i="2"/>
  <c r="F63" i="2" s="1"/>
  <c r="E72" i="2"/>
  <c r="F69" i="2"/>
  <c r="F68" i="2"/>
  <c r="F72" i="2"/>
  <c r="F71" i="2"/>
  <c r="F60" i="2"/>
  <c r="F61" i="2"/>
  <c r="F59" i="2"/>
  <c r="F62" i="2"/>
  <c r="G70" i="2" l="1"/>
  <c r="G71" i="2"/>
  <c r="D11" i="8" s="1"/>
  <c r="E11" i="8" s="1"/>
  <c r="B23" i="8" s="1"/>
  <c r="D23" i="8" s="1"/>
  <c r="E23" i="8" s="1"/>
  <c r="G69" i="2"/>
  <c r="B12" i="9" s="1"/>
  <c r="F12" i="9" s="1"/>
  <c r="G68" i="2"/>
  <c r="D8" i="8" s="1"/>
  <c r="E8" i="8" s="1"/>
  <c r="B20" i="8" s="1"/>
  <c r="D20" i="8" s="1"/>
  <c r="E20" i="8" s="1"/>
  <c r="B14" i="9"/>
  <c r="F14" i="9" s="1"/>
  <c r="D10" i="8"/>
  <c r="E10" i="8" s="1"/>
  <c r="B22" i="8" s="1"/>
  <c r="D22" i="8" s="1"/>
  <c r="E22" i="8" s="1"/>
  <c r="B13" i="9"/>
  <c r="F13" i="9" s="1"/>
  <c r="G61" i="2"/>
  <c r="G62" i="2"/>
  <c r="G59" i="2"/>
  <c r="G60" i="2"/>
  <c r="D9" i="8" l="1"/>
  <c r="E9" i="8" s="1"/>
  <c r="B21" i="8" s="1"/>
  <c r="D21" i="8" s="1"/>
  <c r="E21" i="8" s="1"/>
  <c r="B11" i="9"/>
  <c r="F11" i="9" s="1"/>
  <c r="G13" i="9"/>
  <c r="K13" i="9"/>
  <c r="L13" i="9" s="1"/>
  <c r="G12" i="9"/>
  <c r="K12" i="9"/>
  <c r="L12" i="9" s="1"/>
  <c r="G14" i="9"/>
  <c r="K14" i="9"/>
  <c r="L14" i="9" s="1"/>
  <c r="G11" i="9"/>
  <c r="K11" i="9"/>
  <c r="L11" i="9" s="1"/>
</calcChain>
</file>

<file path=xl/connections.xml><?xml version="1.0" encoding="utf-8"?>
<connections xmlns="http://schemas.openxmlformats.org/spreadsheetml/2006/main">
  <connection id="1" name="size of steel" type="6" refreshedVersion="4" background="1" saveData="1">
    <textPr codePage="950" sourceFile="\\psf\Home\Desktop\SteelProject2\size of steel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<sst xmlns="http://schemas.openxmlformats.org/spreadsheetml/2006/main" count="1559" uniqueCount="801">
  <si>
    <t>ROOF</t>
    <phoneticPr fontId="1" type="noConversion"/>
  </si>
  <si>
    <t>slab weight</t>
    <phoneticPr fontId="1" type="noConversion"/>
  </si>
  <si>
    <t>ceil weight</t>
    <phoneticPr fontId="1" type="noConversion"/>
  </si>
  <si>
    <t>averaged structure weight</t>
    <phoneticPr fontId="1" type="noConversion"/>
  </si>
  <si>
    <t>water tank weight</t>
    <phoneticPr fontId="1" type="noConversion"/>
  </si>
  <si>
    <t>partition wall weight</t>
    <phoneticPr fontId="1" type="noConversion"/>
  </si>
  <si>
    <t>exterior wall (vertical surface h = 4m)</t>
    <phoneticPr fontId="1" type="noConversion"/>
  </si>
  <si>
    <t>-</t>
    <phoneticPr fontId="1" type="noConversion"/>
  </si>
  <si>
    <t>3F</t>
    <phoneticPr fontId="1" type="noConversion"/>
  </si>
  <si>
    <t>2F</t>
    <phoneticPr fontId="1" type="noConversion"/>
  </si>
  <si>
    <t>1F</t>
    <phoneticPr fontId="1" type="noConversion"/>
  </si>
  <si>
    <t>TOTAL</t>
    <phoneticPr fontId="1" type="noConversion"/>
  </si>
  <si>
    <t>weight (kgf)</t>
    <phoneticPr fontId="1" type="noConversion"/>
  </si>
  <si>
    <t>Total Structural Weight (kgf)</t>
    <phoneticPr fontId="1" type="noConversion"/>
  </si>
  <si>
    <t>W</t>
    <phoneticPr fontId="1" type="noConversion"/>
  </si>
  <si>
    <t>=</t>
    <phoneticPr fontId="1" type="noConversion"/>
  </si>
  <si>
    <t>Participated Load Items</t>
    <phoneticPr fontId="1" type="noConversion"/>
  </si>
  <si>
    <t>Longitudinal direction (MRF)</t>
    <phoneticPr fontId="1" type="noConversion"/>
  </si>
  <si>
    <t>Transverse direction (BRBF+EBF)</t>
    <phoneticPr fontId="1" type="noConversion"/>
  </si>
  <si>
    <t>Total Height (m)</t>
    <phoneticPr fontId="1" type="noConversion"/>
  </si>
  <si>
    <t>Structural Periods (Seconds)</t>
    <phoneticPr fontId="1" type="noConversion"/>
  </si>
  <si>
    <t>Floor</t>
    <phoneticPr fontId="1" type="noConversion"/>
  </si>
  <si>
    <t>4F</t>
    <phoneticPr fontId="1" type="noConversion"/>
  </si>
  <si>
    <t>Weight (tf)</t>
    <phoneticPr fontId="1" type="noConversion"/>
  </si>
  <si>
    <t>Height(m)</t>
    <phoneticPr fontId="1" type="noConversion"/>
  </si>
  <si>
    <t>Wx*hx</t>
    <phoneticPr fontId="1" type="noConversion"/>
  </si>
  <si>
    <t>(Wx*hx)/SUM(Wx*hx)</t>
    <phoneticPr fontId="1" type="noConversion"/>
  </si>
  <si>
    <t>Lateral Force</t>
    <phoneticPr fontId="1" type="noConversion"/>
  </si>
  <si>
    <t>Story Shears</t>
    <phoneticPr fontId="1" type="noConversion"/>
  </si>
  <si>
    <t>exterior wall (vertical surface h = 2m)</t>
    <phoneticPr fontId="1" type="noConversion"/>
  </si>
  <si>
    <t>parapet wall (vertical surface h = 1.4m)</t>
    <phoneticPr fontId="1" type="noConversion"/>
  </si>
  <si>
    <t>partition wall weight</t>
    <phoneticPr fontId="1" type="noConversion"/>
  </si>
  <si>
    <t>SMRF</t>
  </si>
  <si>
    <t>SMRF</t>
    <phoneticPr fontId="1" type="noConversion"/>
  </si>
  <si>
    <t>SCBF</t>
    <phoneticPr fontId="1" type="noConversion"/>
  </si>
  <si>
    <t>EBF</t>
    <phoneticPr fontId="1" type="noConversion"/>
  </si>
  <si>
    <t>BRBF</t>
  </si>
  <si>
    <t>BRBF</t>
    <phoneticPr fontId="1" type="noConversion"/>
  </si>
  <si>
    <t>樓高(H)</t>
    <phoneticPr fontId="1" type="noConversion"/>
  </si>
  <si>
    <t>構架型式</t>
    <phoneticPr fontId="1" type="noConversion"/>
  </si>
  <si>
    <t>週期</t>
    <phoneticPr fontId="1" type="noConversion"/>
  </si>
  <si>
    <t>週期(T)</t>
    <phoneticPr fontId="1" type="noConversion"/>
  </si>
  <si>
    <t>基隆市</t>
  </si>
  <si>
    <t>宜蘭縣</t>
  </si>
  <si>
    <t>桃園縣</t>
  </si>
  <si>
    <t>新竹縣</t>
  </si>
  <si>
    <t>S</t>
  </si>
  <si>
    <t>臨近之斷層</t>
  </si>
  <si>
    <t>中正區</t>
  </si>
  <si>
    <t>七堵區</t>
  </si>
  <si>
    <t>暖暖區</t>
  </si>
  <si>
    <t>仁愛區</t>
  </si>
  <si>
    <t>中山區</t>
  </si>
  <si>
    <t>安樂區</t>
  </si>
  <si>
    <t>信義區</t>
  </si>
  <si>
    <t>宜蘭市</t>
  </si>
  <si>
    <t>羅東鎮</t>
  </si>
  <si>
    <t>蘇澳鎮</t>
  </si>
  <si>
    <t>頭城鎮</t>
  </si>
  <si>
    <t>礁溪鄉</t>
  </si>
  <si>
    <t>壯圍鄉</t>
  </si>
  <si>
    <t>員山鄉</t>
  </si>
  <si>
    <t>冬山鄉</t>
  </si>
  <si>
    <t>五結鄉</t>
  </si>
  <si>
    <t>三星鄉</t>
  </si>
  <si>
    <t>大同鄉</t>
  </si>
  <si>
    <t>南澳鄉</t>
  </si>
  <si>
    <t>桃園市</t>
  </si>
  <si>
    <t>中壢市</t>
  </si>
  <si>
    <t>大溪鎮</t>
  </si>
  <si>
    <t>楊梅市</t>
  </si>
  <si>
    <t>蘆竹鄉</t>
  </si>
  <si>
    <t>大園鄉</t>
  </si>
  <si>
    <t>龜山鄉</t>
  </si>
  <si>
    <t>八德市</t>
  </si>
  <si>
    <t>龍潭鄉</t>
  </si>
  <si>
    <t>平鎮市</t>
  </si>
  <si>
    <t>新屋鄉</t>
  </si>
  <si>
    <t>觀音鄉</t>
  </si>
  <si>
    <t>復興鄉</t>
  </si>
  <si>
    <t>竹北市</t>
  </si>
  <si>
    <t>竹東鎮</t>
  </si>
  <si>
    <t>新埔鎮</t>
  </si>
  <si>
    <t>關西鎮</t>
  </si>
  <si>
    <t>湖口鄉</t>
  </si>
  <si>
    <t>新豐鄉</t>
  </si>
  <si>
    <t>鄉鎮市區</t>
  </si>
  <si>
    <t>縣市</t>
  </si>
  <si>
    <r>
      <t xml:space="preserve">S </t>
    </r>
    <r>
      <rPr>
        <i/>
        <sz val="7"/>
        <color theme="1"/>
        <rFont val="Times New Roman"/>
        <family val="1"/>
      </rPr>
      <t>D</t>
    </r>
  </si>
  <si>
    <r>
      <t xml:space="preserve">S </t>
    </r>
    <r>
      <rPr>
        <i/>
        <sz val="7"/>
        <color theme="1"/>
        <rFont val="Times New Roman"/>
        <family val="1"/>
      </rPr>
      <t>M</t>
    </r>
  </si>
  <si>
    <t>芎林鄉</t>
  </si>
  <si>
    <t>橫山鄉</t>
  </si>
  <si>
    <t>北埔鄉</t>
  </si>
  <si>
    <t>獅潭與神卓山斷層</t>
  </si>
  <si>
    <t>寶山鄉</t>
  </si>
  <si>
    <t>峨眉鄉</t>
  </si>
  <si>
    <t>尖石鄉</t>
  </si>
  <si>
    <t>五峰鄉</t>
  </si>
  <si>
    <t>東區</t>
  </si>
  <si>
    <t>北區</t>
  </si>
  <si>
    <t>香山區</t>
  </si>
  <si>
    <t>苗栗縣</t>
  </si>
  <si>
    <t>苗栗市</t>
  </si>
  <si>
    <t>苑裡鎮</t>
  </si>
  <si>
    <t>屯子腳、車籠埔斷層</t>
  </si>
  <si>
    <t>通霄鎮</t>
  </si>
  <si>
    <t>屯子腳斷層</t>
  </si>
  <si>
    <t>竹南鎮</t>
  </si>
  <si>
    <t>頭份鎮</t>
  </si>
  <si>
    <t>後龍鎮</t>
  </si>
  <si>
    <t>卓蘭鎮</t>
  </si>
  <si>
    <t>大湖鄉</t>
  </si>
  <si>
    <t>獅潭與神卓山、屯子腳、</t>
  </si>
  <si>
    <t>車籠埔斷層</t>
  </si>
  <si>
    <t>公館鄉</t>
  </si>
  <si>
    <t>銅鑼鄉</t>
  </si>
  <si>
    <t>南庄鄉</t>
  </si>
  <si>
    <t>頭屋鄉</t>
  </si>
  <si>
    <t>三義鄉</t>
  </si>
  <si>
    <t>西湖鄉</t>
  </si>
  <si>
    <t>造橋鄉</t>
  </si>
  <si>
    <t>三灣鄉</t>
  </si>
  <si>
    <t>獅潭鄉</t>
  </si>
  <si>
    <t>泰安鄉</t>
  </si>
  <si>
    <t>獅潭與神卓山、車籠埔斷層</t>
  </si>
  <si>
    <t>臺中市</t>
  </si>
  <si>
    <t>豐原區</t>
  </si>
  <si>
    <t>東勢區</t>
  </si>
  <si>
    <t>大甲區</t>
  </si>
  <si>
    <t>清水區</t>
  </si>
  <si>
    <t>沙鹿區</t>
  </si>
  <si>
    <t>梧棲區</t>
  </si>
  <si>
    <t>后里區</t>
  </si>
  <si>
    <t>神岡區</t>
  </si>
  <si>
    <t>潭子區</t>
  </si>
  <si>
    <t>大雅區</t>
  </si>
  <si>
    <t>新社區</t>
  </si>
  <si>
    <t>石岡區</t>
  </si>
  <si>
    <t>外埔區</t>
  </si>
  <si>
    <t>大安區</t>
  </si>
  <si>
    <t>烏日區</t>
  </si>
  <si>
    <t>大肚區</t>
  </si>
  <si>
    <t>龍井區</t>
  </si>
  <si>
    <t>霧峰區</t>
  </si>
  <si>
    <t>太平區</t>
  </si>
  <si>
    <t>大里區</t>
  </si>
  <si>
    <t>和平區</t>
  </si>
  <si>
    <t>中區</t>
  </si>
  <si>
    <t>南區</t>
  </si>
  <si>
    <t>西區</t>
  </si>
  <si>
    <t>西屯區</t>
  </si>
  <si>
    <t>南屯區</t>
  </si>
  <si>
    <t>北屯區</t>
  </si>
  <si>
    <t>彰化縣</t>
  </si>
  <si>
    <t>彰化市</t>
  </si>
  <si>
    <t>鹿港鎮</t>
  </si>
  <si>
    <t>和美鎮</t>
  </si>
  <si>
    <t>線西鄉</t>
  </si>
  <si>
    <t>伸港鄉</t>
  </si>
  <si>
    <t>福興鄉</t>
  </si>
  <si>
    <t>秀水鄉</t>
  </si>
  <si>
    <t>花壇鄉</t>
  </si>
  <si>
    <t>芬園鄉</t>
  </si>
  <si>
    <t>員林鎮</t>
  </si>
  <si>
    <t>溪湖鎮</t>
  </si>
  <si>
    <t>田中鎮</t>
  </si>
  <si>
    <t>大村鄉</t>
  </si>
  <si>
    <t>埔鹽鄉</t>
  </si>
  <si>
    <t>埔心鄉</t>
  </si>
  <si>
    <t>永靖鄉</t>
  </si>
  <si>
    <t>社頭鄉</t>
  </si>
  <si>
    <t>二水鄉</t>
  </si>
  <si>
    <t>北斗鎮</t>
  </si>
  <si>
    <t>二林鎮</t>
  </si>
  <si>
    <t>田尾鄉</t>
  </si>
  <si>
    <t>埤頭鄉</t>
  </si>
  <si>
    <t>芳苑鄉</t>
  </si>
  <si>
    <t>大城鄉</t>
  </si>
  <si>
    <t>竹塘鄉</t>
  </si>
  <si>
    <t>溪州鄉</t>
  </si>
  <si>
    <t>南投縣</t>
  </si>
  <si>
    <t>南投市</t>
  </si>
  <si>
    <t>埔里鎮</t>
  </si>
  <si>
    <t>草屯鎮</t>
  </si>
  <si>
    <t>竹山鎮</t>
  </si>
  <si>
    <t>大尖山與觸口、車籠埔斷層</t>
  </si>
  <si>
    <t>集集鎮</t>
  </si>
  <si>
    <t>名間鄉</t>
  </si>
  <si>
    <t>鹿谷鄉</t>
  </si>
  <si>
    <t>中寮鄉</t>
  </si>
  <si>
    <t>魚池鄉</t>
  </si>
  <si>
    <t>國姓鄉</t>
  </si>
  <si>
    <t>水里鄉</t>
  </si>
  <si>
    <t>信義鄉</t>
  </si>
  <si>
    <t>仁愛鄉</t>
  </si>
  <si>
    <t>雲林縣</t>
  </si>
  <si>
    <t>斗六市</t>
  </si>
  <si>
    <t>斗南鎮</t>
  </si>
  <si>
    <t>梅山斷層</t>
  </si>
  <si>
    <t>虎尾鎮</t>
  </si>
  <si>
    <t>西螺鎮</t>
  </si>
  <si>
    <t>土庫鎮</t>
  </si>
  <si>
    <t>北港鎮</t>
  </si>
  <si>
    <t>古坑鄉</t>
  </si>
  <si>
    <t>梅山、車籠埔斷層</t>
  </si>
  <si>
    <t>大埤鄉</t>
  </si>
  <si>
    <t>莿桐鄉</t>
  </si>
  <si>
    <t>林內鄉</t>
  </si>
  <si>
    <t>二崙鄉</t>
  </si>
  <si>
    <t>崙背鄉</t>
  </si>
  <si>
    <t>麥寮鄉</t>
  </si>
  <si>
    <t>東勢鄉</t>
  </si>
  <si>
    <t>褒忠鄉</t>
  </si>
  <si>
    <t>臺西鄉</t>
  </si>
  <si>
    <t>元長鄉</t>
  </si>
  <si>
    <t>四湖鄉</t>
  </si>
  <si>
    <t>口湖鄉</t>
  </si>
  <si>
    <t>水林鄉</t>
  </si>
  <si>
    <t>嘉義縣</t>
  </si>
  <si>
    <t>太保市</t>
  </si>
  <si>
    <t>朴子市</t>
  </si>
  <si>
    <t>布袋鎮</t>
  </si>
  <si>
    <t>大林鎮</t>
  </si>
  <si>
    <t>梅山、大尖山與觸口斷層</t>
  </si>
  <si>
    <t>民雄鄉</t>
  </si>
  <si>
    <t>溪口鄉</t>
  </si>
  <si>
    <t>新港鄉</t>
  </si>
  <si>
    <t>六腳鄉</t>
  </si>
  <si>
    <t>東石鄉</t>
  </si>
  <si>
    <t>義竹鄉</t>
  </si>
  <si>
    <t>鹿草鄉</t>
  </si>
  <si>
    <t>水上鄉</t>
  </si>
  <si>
    <t>大尖山與觸口斷層</t>
  </si>
  <si>
    <t>中埔鄉</t>
  </si>
  <si>
    <t>竹崎鄉</t>
  </si>
  <si>
    <t>大尖山與觸口、梅山斷層</t>
  </si>
  <si>
    <t>梅山鄉</t>
  </si>
  <si>
    <t>番路鄉</t>
  </si>
  <si>
    <t>大埔鄉</t>
  </si>
  <si>
    <t>阿里山鄉</t>
  </si>
  <si>
    <t>嘉義市</t>
  </si>
  <si>
    <t>臺南市</t>
  </si>
  <si>
    <t>新營區</t>
  </si>
  <si>
    <t>鹽水區</t>
  </si>
  <si>
    <t>白河區</t>
  </si>
  <si>
    <t>柳營區</t>
  </si>
  <si>
    <t>後壁區</t>
  </si>
  <si>
    <t>東山區</t>
  </si>
  <si>
    <t>麻豆區</t>
  </si>
  <si>
    <t>下營區</t>
  </si>
  <si>
    <t>六甲區</t>
  </si>
  <si>
    <t>官田區</t>
  </si>
  <si>
    <t>大內區</t>
  </si>
  <si>
    <t>新化斷層</t>
  </si>
  <si>
    <t>佳里區</t>
  </si>
  <si>
    <t>學甲區</t>
  </si>
  <si>
    <t>西港區</t>
  </si>
  <si>
    <t>七股區</t>
  </si>
  <si>
    <t>將軍區</t>
  </si>
  <si>
    <t>北門區</t>
  </si>
  <si>
    <t>新化區</t>
  </si>
  <si>
    <t>善化區</t>
  </si>
  <si>
    <t>新市區</t>
  </si>
  <si>
    <t>安定區</t>
  </si>
  <si>
    <t>山上區</t>
  </si>
  <si>
    <t>玉井區</t>
  </si>
  <si>
    <t>楠西區</t>
  </si>
  <si>
    <t>南化區</t>
  </si>
  <si>
    <t>左鎮區</t>
  </si>
  <si>
    <t>仁德區</t>
  </si>
  <si>
    <t>歸仁區</t>
  </si>
  <si>
    <t>關廟區</t>
  </si>
  <si>
    <t>龍崎區</t>
  </si>
  <si>
    <t>永康區</t>
  </si>
  <si>
    <t>安南區</t>
  </si>
  <si>
    <t>安平區</t>
  </si>
  <si>
    <t>高雄市</t>
  </si>
  <si>
    <t>鳳山區</t>
  </si>
  <si>
    <t>林園區</t>
  </si>
  <si>
    <t>大寮區</t>
  </si>
  <si>
    <t>大樹區</t>
  </si>
  <si>
    <t>大社區</t>
  </si>
  <si>
    <t>仁武區</t>
  </si>
  <si>
    <t>鳥松區</t>
  </si>
  <si>
    <t>岡山區</t>
  </si>
  <si>
    <t>橋頭區</t>
  </si>
  <si>
    <t>燕巢區</t>
  </si>
  <si>
    <t>田寮區</t>
  </si>
  <si>
    <t>阿蓮區</t>
  </si>
  <si>
    <t>路竹區</t>
  </si>
  <si>
    <t>湖內區</t>
  </si>
  <si>
    <t>茄萣區</t>
  </si>
  <si>
    <t>永安區</t>
  </si>
  <si>
    <t>彌陀區</t>
  </si>
  <si>
    <t>梓官區</t>
  </si>
  <si>
    <t>旗山區</t>
  </si>
  <si>
    <t>美濃區</t>
  </si>
  <si>
    <t>六龜區</t>
  </si>
  <si>
    <t>甲仙區</t>
  </si>
  <si>
    <t>杉林區</t>
  </si>
  <si>
    <t>內門區</t>
  </si>
  <si>
    <t>茂林區</t>
  </si>
  <si>
    <t>桃源區</t>
  </si>
  <si>
    <t>那瑪夏區</t>
  </si>
  <si>
    <t>鹽埕區</t>
  </si>
  <si>
    <t>鼓山區</t>
  </si>
  <si>
    <t>左營區</t>
  </si>
  <si>
    <t>楠梓區</t>
  </si>
  <si>
    <t>三民區</t>
  </si>
  <si>
    <t>新興區</t>
  </si>
  <si>
    <t>前金區</t>
  </si>
  <si>
    <t>苓雅區</t>
  </si>
  <si>
    <t>前鎮區</t>
  </si>
  <si>
    <t>旗津區</t>
  </si>
  <si>
    <t>小港區</t>
  </si>
  <si>
    <t>屏東縣</t>
  </si>
  <si>
    <t>屏東市</t>
  </si>
  <si>
    <t>潮州鎮</t>
  </si>
  <si>
    <t>東港鎮</t>
  </si>
  <si>
    <t>恆春鎮</t>
  </si>
  <si>
    <t>萬丹鄉</t>
  </si>
  <si>
    <t>長治鄉</t>
  </si>
  <si>
    <t>麟洛鄉</t>
  </si>
  <si>
    <t>九如鄉</t>
  </si>
  <si>
    <t>里港鄉</t>
  </si>
  <si>
    <t>鹽埔鄉</t>
  </si>
  <si>
    <t>高樹鄉</t>
  </si>
  <si>
    <t>萬巒鄉</t>
  </si>
  <si>
    <t>內埔鄉</t>
  </si>
  <si>
    <t>竹田鄉</t>
  </si>
  <si>
    <t>新埤鄉</t>
  </si>
  <si>
    <t>枋寮鄉</t>
  </si>
  <si>
    <t>新園鄉</t>
  </si>
  <si>
    <t>崁頂鄉</t>
  </si>
  <si>
    <t>林邊鄉</t>
  </si>
  <si>
    <t>南州鄉</t>
  </si>
  <si>
    <t>佳冬鄉</t>
  </si>
  <si>
    <t>琉球鄉</t>
  </si>
  <si>
    <t>車城鄉</t>
  </si>
  <si>
    <t>滿州鄉</t>
  </si>
  <si>
    <t>枋山鄉</t>
  </si>
  <si>
    <t>三地門鄉</t>
  </si>
  <si>
    <t>霧臺鄉</t>
  </si>
  <si>
    <t>瑪家鄉</t>
  </si>
  <si>
    <t>泰武鄉</t>
  </si>
  <si>
    <t>來義鄉</t>
  </si>
  <si>
    <t>春日鄉</t>
  </si>
  <si>
    <t>獅子鄉</t>
  </si>
  <si>
    <t>牡丹鄉</t>
  </si>
  <si>
    <t>澎湖縣</t>
  </si>
  <si>
    <t>馬公市</t>
  </si>
  <si>
    <t>湖西鄉</t>
  </si>
  <si>
    <t>白沙鄉</t>
  </si>
  <si>
    <t>西嶼鄉</t>
  </si>
  <si>
    <t>望安鄉</t>
  </si>
  <si>
    <t>臺東縣</t>
  </si>
  <si>
    <t>臺東市</t>
  </si>
  <si>
    <t>成功鎮</t>
  </si>
  <si>
    <t>花東地區斷層</t>
  </si>
  <si>
    <t>關山鎮</t>
  </si>
  <si>
    <t>卑南鄉</t>
  </si>
  <si>
    <t>鹿野鄉</t>
  </si>
  <si>
    <t>池上鄉</t>
  </si>
  <si>
    <t>東河鄉</t>
  </si>
  <si>
    <t>長濱鄉</t>
  </si>
  <si>
    <t>太麻里鄉</t>
  </si>
  <si>
    <t>大武鄉</t>
  </si>
  <si>
    <t>綠島鄉</t>
  </si>
  <si>
    <t>海端鄉</t>
  </si>
  <si>
    <t>延平鄉</t>
  </si>
  <si>
    <t>金峰鄉</t>
  </si>
  <si>
    <t>達仁鄉</t>
  </si>
  <si>
    <t>蘭嶼鄉</t>
  </si>
  <si>
    <t>花蓮縣</t>
  </si>
  <si>
    <t>花蓮市</t>
  </si>
  <si>
    <t>鳳林鎮</t>
  </si>
  <si>
    <t>玉里鎮</t>
  </si>
  <si>
    <t>新城鄉</t>
  </si>
  <si>
    <t>吉安鄉</t>
  </si>
  <si>
    <t>壽豐鄉</t>
  </si>
  <si>
    <t>光復鄉</t>
  </si>
  <si>
    <t>豐濱鄉</t>
  </si>
  <si>
    <t>瑞穗鄉</t>
  </si>
  <si>
    <t>富里鄉</t>
  </si>
  <si>
    <t>秀林鄉</t>
  </si>
  <si>
    <t>萬榮鄉</t>
  </si>
  <si>
    <t>卓溪鄉</t>
  </si>
  <si>
    <t>縣市</t>
    <phoneticPr fontId="1" type="noConversion"/>
  </si>
  <si>
    <t>金門與馬祖地區</t>
  </si>
  <si>
    <t>金門與馬祖地區</t>
    <phoneticPr fontId="1" type="noConversion"/>
  </si>
  <si>
    <t>基隆市</t>
    <phoneticPr fontId="1" type="noConversion"/>
  </si>
  <si>
    <t>鄉鎮市</t>
    <phoneticPr fontId="1" type="noConversion"/>
  </si>
  <si>
    <t>地盤分類</t>
    <phoneticPr fontId="1" type="noConversion"/>
  </si>
  <si>
    <t>第一類地盤</t>
  </si>
  <si>
    <t>第一類地盤</t>
    <phoneticPr fontId="1" type="noConversion"/>
  </si>
  <si>
    <t>第二類地盤</t>
    <phoneticPr fontId="1" type="noConversion"/>
  </si>
  <si>
    <t>第三類地盤</t>
    <phoneticPr fontId="1" type="noConversion"/>
  </si>
  <si>
    <r>
      <t>S</t>
    </r>
    <r>
      <rPr>
        <i/>
        <vertAlign val="subscript"/>
        <sz val="12"/>
        <color theme="1"/>
        <rFont val="Times New Roman"/>
        <family val="1"/>
      </rPr>
      <t>S</t>
    </r>
    <r>
      <rPr>
        <i/>
        <vertAlign val="superscript"/>
        <sz val="12"/>
        <color theme="1"/>
        <rFont val="Times New Roman"/>
        <family val="1"/>
      </rPr>
      <t>D</t>
    </r>
    <phoneticPr fontId="1" type="noConversion"/>
  </si>
  <si>
    <r>
      <t>S</t>
    </r>
    <r>
      <rPr>
        <i/>
        <vertAlign val="subscript"/>
        <sz val="12"/>
        <color theme="1"/>
        <rFont val="Times New Roman"/>
        <family val="1"/>
      </rPr>
      <t>1</t>
    </r>
    <r>
      <rPr>
        <i/>
        <vertAlign val="superscript"/>
        <sz val="12"/>
        <color theme="1"/>
        <rFont val="Times New Roman"/>
        <family val="1"/>
      </rPr>
      <t>D</t>
    </r>
    <phoneticPr fontId="1" type="noConversion"/>
  </si>
  <si>
    <r>
      <t>S</t>
    </r>
    <r>
      <rPr>
        <i/>
        <vertAlign val="subscript"/>
        <sz val="12"/>
        <color theme="1"/>
        <rFont val="Times New Roman"/>
        <family val="1"/>
      </rPr>
      <t>S</t>
    </r>
    <r>
      <rPr>
        <i/>
        <vertAlign val="superscript"/>
        <sz val="12"/>
        <color theme="1"/>
        <rFont val="Times New Roman"/>
        <family val="1"/>
      </rPr>
      <t>M</t>
    </r>
    <phoneticPr fontId="1" type="noConversion"/>
  </si>
  <si>
    <r>
      <t>S</t>
    </r>
    <r>
      <rPr>
        <i/>
        <vertAlign val="subscript"/>
        <sz val="12"/>
        <color theme="1"/>
        <rFont val="Times New Roman"/>
        <family val="1"/>
      </rPr>
      <t>1</t>
    </r>
    <r>
      <rPr>
        <i/>
        <vertAlign val="superscript"/>
        <sz val="12"/>
        <color theme="1"/>
        <rFont val="Times New Roman"/>
        <family val="1"/>
      </rPr>
      <t>M</t>
    </r>
    <phoneticPr fontId="1" type="noConversion"/>
  </si>
  <si>
    <r>
      <t xml:space="preserve"> Fa</t>
    </r>
    <r>
      <rPr>
        <vertAlign val="superscript"/>
        <sz val="12"/>
        <color theme="1"/>
        <rFont val="新細明體"/>
        <family val="1"/>
        <charset val="136"/>
        <scheme val="minor"/>
      </rPr>
      <t>D</t>
    </r>
    <phoneticPr fontId="1" type="noConversion"/>
  </si>
  <si>
    <r>
      <t>Fa</t>
    </r>
    <r>
      <rPr>
        <vertAlign val="superscript"/>
        <sz val="12"/>
        <color theme="1"/>
        <rFont val="新細明體"/>
        <family val="1"/>
        <charset val="136"/>
        <scheme val="minor"/>
      </rPr>
      <t>M</t>
    </r>
    <phoneticPr fontId="1" type="noConversion"/>
  </si>
  <si>
    <r>
      <t xml:space="preserve"> Fv</t>
    </r>
    <r>
      <rPr>
        <vertAlign val="superscript"/>
        <sz val="12"/>
        <color theme="1"/>
        <rFont val="新細明體"/>
        <family val="1"/>
        <charset val="136"/>
        <scheme val="minor"/>
      </rPr>
      <t>D</t>
    </r>
    <phoneticPr fontId="1" type="noConversion"/>
  </si>
  <si>
    <r>
      <t>Fv</t>
    </r>
    <r>
      <rPr>
        <vertAlign val="superscript"/>
        <sz val="12"/>
        <color theme="1"/>
        <rFont val="新細明體"/>
        <family val="1"/>
        <charset val="136"/>
        <scheme val="minor"/>
      </rPr>
      <t>M</t>
    </r>
    <phoneticPr fontId="1" type="noConversion"/>
  </si>
  <si>
    <t>進斷層調整因子</t>
    <phoneticPr fontId="1" type="noConversion"/>
  </si>
  <si>
    <r>
      <t>N</t>
    </r>
    <r>
      <rPr>
        <vertAlign val="subscript"/>
        <sz val="12"/>
        <color theme="1"/>
        <rFont val="新細明體"/>
        <family val="1"/>
        <charset val="136"/>
        <scheme val="minor"/>
      </rPr>
      <t>A</t>
    </r>
    <phoneticPr fontId="1" type="noConversion"/>
  </si>
  <si>
    <r>
      <t>N</t>
    </r>
    <r>
      <rPr>
        <vertAlign val="subscript"/>
        <sz val="12"/>
        <color theme="1"/>
        <rFont val="新細明體"/>
        <family val="1"/>
        <charset val="136"/>
        <scheme val="minor"/>
      </rPr>
      <t>V</t>
    </r>
    <phoneticPr fontId="1" type="noConversion"/>
  </si>
  <si>
    <t>韌性容量</t>
    <phoneticPr fontId="1" type="noConversion"/>
  </si>
  <si>
    <r>
      <t>S</t>
    </r>
    <r>
      <rPr>
        <vertAlign val="subscript"/>
        <sz val="12"/>
        <color theme="1"/>
        <rFont val="新細明體"/>
        <family val="1"/>
        <charset val="136"/>
        <scheme val="minor"/>
      </rPr>
      <t>DS</t>
    </r>
    <r>
      <rPr>
        <sz val="12"/>
        <color theme="1"/>
        <rFont val="新細明體"/>
        <family val="1"/>
        <charset val="136"/>
        <scheme val="minor"/>
      </rPr>
      <t>=S</t>
    </r>
    <r>
      <rPr>
        <vertAlign val="subscript"/>
        <sz val="12"/>
        <color theme="1"/>
        <rFont val="新細明體"/>
        <family val="1"/>
        <charset val="136"/>
        <scheme val="minor"/>
      </rPr>
      <t>S</t>
    </r>
    <r>
      <rPr>
        <vertAlign val="superscript"/>
        <sz val="12"/>
        <color theme="1"/>
        <rFont val="新細明體"/>
        <family val="1"/>
        <charset val="136"/>
        <scheme val="minor"/>
      </rPr>
      <t>D</t>
    </r>
    <r>
      <rPr>
        <sz val="12"/>
        <color theme="1"/>
        <rFont val="新細明體"/>
        <family val="1"/>
        <charset val="136"/>
        <scheme val="minor"/>
      </rPr>
      <t>*Fa</t>
    </r>
    <r>
      <rPr>
        <vertAlign val="superscript"/>
        <sz val="12"/>
        <color theme="1"/>
        <rFont val="新細明體"/>
        <family val="1"/>
        <charset val="136"/>
        <scheme val="minor"/>
      </rPr>
      <t>D</t>
    </r>
    <r>
      <rPr>
        <sz val="12"/>
        <color theme="1"/>
        <rFont val="新細明體"/>
        <family val="1"/>
        <charset val="136"/>
        <scheme val="minor"/>
      </rPr>
      <t>*N</t>
    </r>
    <r>
      <rPr>
        <vertAlign val="subscript"/>
        <sz val="12"/>
        <color theme="1"/>
        <rFont val="新細明體"/>
        <family val="1"/>
        <charset val="136"/>
        <scheme val="minor"/>
      </rPr>
      <t>A</t>
    </r>
    <phoneticPr fontId="1" type="noConversion"/>
  </si>
  <si>
    <r>
      <t>S</t>
    </r>
    <r>
      <rPr>
        <vertAlign val="subscript"/>
        <sz val="12"/>
        <color theme="1"/>
        <rFont val="新細明體"/>
        <family val="1"/>
        <charset val="136"/>
        <scheme val="minor"/>
      </rPr>
      <t>D1</t>
    </r>
    <r>
      <rPr>
        <sz val="12"/>
        <color theme="1"/>
        <rFont val="新細明體"/>
        <family val="1"/>
        <charset val="136"/>
        <scheme val="minor"/>
      </rPr>
      <t>=S</t>
    </r>
    <r>
      <rPr>
        <vertAlign val="subscript"/>
        <sz val="12"/>
        <color theme="1"/>
        <rFont val="新細明體"/>
        <family val="1"/>
        <charset val="136"/>
        <scheme val="minor"/>
      </rPr>
      <t>1</t>
    </r>
    <r>
      <rPr>
        <vertAlign val="superscript"/>
        <sz val="12"/>
        <color theme="1"/>
        <rFont val="新細明體"/>
        <family val="1"/>
        <charset val="136"/>
        <scheme val="minor"/>
      </rPr>
      <t>D</t>
    </r>
    <r>
      <rPr>
        <sz val="12"/>
        <color theme="1"/>
        <rFont val="新細明體"/>
        <family val="1"/>
        <charset val="136"/>
        <scheme val="minor"/>
      </rPr>
      <t>*Fv</t>
    </r>
    <r>
      <rPr>
        <vertAlign val="superscript"/>
        <sz val="12"/>
        <color theme="1"/>
        <rFont val="新細明體"/>
        <family val="1"/>
        <charset val="136"/>
        <scheme val="minor"/>
      </rPr>
      <t>D</t>
    </r>
    <r>
      <rPr>
        <sz val="12"/>
        <color theme="1"/>
        <rFont val="新細明體"/>
        <family val="1"/>
        <charset val="136"/>
        <scheme val="minor"/>
      </rPr>
      <t>*N</t>
    </r>
    <r>
      <rPr>
        <vertAlign val="subscript"/>
        <sz val="12"/>
        <color theme="1"/>
        <rFont val="新細明體"/>
        <family val="1"/>
        <charset val="136"/>
        <scheme val="minor"/>
      </rPr>
      <t>V</t>
    </r>
    <phoneticPr fontId="1" type="noConversion"/>
  </si>
  <si>
    <r>
      <t>S</t>
    </r>
    <r>
      <rPr>
        <vertAlign val="subscript"/>
        <sz val="12"/>
        <color theme="1"/>
        <rFont val="新細明體"/>
        <family val="1"/>
        <charset val="136"/>
        <scheme val="minor"/>
      </rPr>
      <t>MS</t>
    </r>
    <r>
      <rPr>
        <sz val="12"/>
        <color theme="1"/>
        <rFont val="新細明體"/>
        <family val="1"/>
        <charset val="136"/>
        <scheme val="minor"/>
      </rPr>
      <t>=S</t>
    </r>
    <r>
      <rPr>
        <vertAlign val="subscript"/>
        <sz val="12"/>
        <color theme="1"/>
        <rFont val="新細明體"/>
        <family val="1"/>
        <charset val="136"/>
        <scheme val="minor"/>
      </rPr>
      <t>S</t>
    </r>
    <r>
      <rPr>
        <vertAlign val="superscript"/>
        <sz val="12"/>
        <color theme="1"/>
        <rFont val="新細明體"/>
        <family val="1"/>
        <charset val="136"/>
        <scheme val="minor"/>
      </rPr>
      <t>M</t>
    </r>
    <r>
      <rPr>
        <sz val="12"/>
        <color theme="1"/>
        <rFont val="新細明體"/>
        <family val="1"/>
        <charset val="136"/>
        <scheme val="minor"/>
      </rPr>
      <t>*Fa</t>
    </r>
    <r>
      <rPr>
        <vertAlign val="superscript"/>
        <sz val="12"/>
        <color theme="1"/>
        <rFont val="新細明體"/>
        <family val="1"/>
        <charset val="136"/>
        <scheme val="minor"/>
      </rPr>
      <t>M</t>
    </r>
    <r>
      <rPr>
        <sz val="12"/>
        <color theme="1"/>
        <rFont val="新細明體"/>
        <family val="1"/>
        <charset val="136"/>
        <scheme val="minor"/>
      </rPr>
      <t>*N</t>
    </r>
    <r>
      <rPr>
        <vertAlign val="subscript"/>
        <sz val="12"/>
        <color theme="1"/>
        <rFont val="新細明體"/>
        <family val="1"/>
        <charset val="136"/>
        <scheme val="minor"/>
      </rPr>
      <t>A</t>
    </r>
    <phoneticPr fontId="1" type="noConversion"/>
  </si>
  <si>
    <t>震區譜加速度係數</t>
    <phoneticPr fontId="1" type="noConversion"/>
  </si>
  <si>
    <t>工址譜加速度係數</t>
    <phoneticPr fontId="1" type="noConversion"/>
  </si>
  <si>
    <t>週期經驗公式計算</t>
    <phoneticPr fontId="1" type="noConversion"/>
  </si>
  <si>
    <r>
      <rPr>
        <b/>
        <sz val="11"/>
        <color theme="1"/>
        <rFont val="細明體"/>
        <family val="3"/>
        <charset val="136"/>
      </rPr>
      <t>短週期結構之工址放大係數</t>
    </r>
    <r>
      <rPr>
        <b/>
        <sz val="11"/>
        <color theme="1"/>
        <rFont val="Arial"/>
        <family val="2"/>
      </rPr>
      <t xml:space="preserve"> </t>
    </r>
    <r>
      <rPr>
        <b/>
        <i/>
        <sz val="11"/>
        <color theme="1"/>
        <rFont val="Times New Roman"/>
        <family val="1"/>
      </rPr>
      <t>F</t>
    </r>
    <r>
      <rPr>
        <b/>
        <i/>
        <vertAlign val="subscript"/>
        <sz val="11"/>
        <color theme="1"/>
        <rFont val="Times New Roman"/>
        <family val="1"/>
      </rPr>
      <t>a</t>
    </r>
    <phoneticPr fontId="1" type="noConversion"/>
  </si>
  <si>
    <r>
      <t xml:space="preserve">長週期結構之工址放大係數 </t>
    </r>
    <r>
      <rPr>
        <b/>
        <i/>
        <sz val="11"/>
        <color theme="1"/>
        <rFont val="Times New Roman"/>
        <family val="1"/>
      </rPr>
      <t>F</t>
    </r>
    <r>
      <rPr>
        <b/>
        <i/>
        <vertAlign val="subscript"/>
        <sz val="11"/>
        <color theme="1"/>
        <rFont val="Times New Roman"/>
        <family val="1"/>
      </rPr>
      <t>v</t>
    </r>
    <r>
      <rPr>
        <b/>
        <i/>
        <sz val="11"/>
        <color theme="1"/>
        <rFont val="Times New Roman"/>
        <family val="1"/>
      </rPr>
      <t xml:space="preserve"> </t>
    </r>
  </si>
  <si>
    <r>
      <t>T</t>
    </r>
    <r>
      <rPr>
        <vertAlign val="subscript"/>
        <sz val="12"/>
        <color theme="1"/>
        <rFont val="新細明體"/>
        <family val="1"/>
        <charset val="136"/>
        <scheme val="minor"/>
      </rPr>
      <t>0</t>
    </r>
    <r>
      <rPr>
        <vertAlign val="superscript"/>
        <sz val="12"/>
        <color theme="1"/>
        <rFont val="新細明體"/>
        <family val="1"/>
        <charset val="136"/>
        <scheme val="minor"/>
      </rPr>
      <t>D</t>
    </r>
    <phoneticPr fontId="1" type="noConversion"/>
  </si>
  <si>
    <r>
      <t>S</t>
    </r>
    <r>
      <rPr>
        <vertAlign val="subscript"/>
        <sz val="12"/>
        <color theme="1"/>
        <rFont val="新細明體"/>
        <family val="1"/>
        <charset val="136"/>
        <scheme val="minor"/>
      </rPr>
      <t>aD</t>
    </r>
    <phoneticPr fontId="1" type="noConversion"/>
  </si>
  <si>
    <r>
      <t>T</t>
    </r>
    <r>
      <rPr>
        <vertAlign val="subscript"/>
        <sz val="12"/>
        <color theme="1"/>
        <rFont val="新細明體"/>
        <family val="1"/>
        <charset val="136"/>
        <scheme val="minor"/>
      </rPr>
      <t>0</t>
    </r>
    <r>
      <rPr>
        <vertAlign val="superscript"/>
        <sz val="12"/>
        <color theme="1"/>
        <rFont val="新細明體"/>
        <family val="1"/>
        <charset val="136"/>
        <scheme val="minor"/>
      </rPr>
      <t>M</t>
    </r>
    <phoneticPr fontId="1" type="noConversion"/>
  </si>
  <si>
    <r>
      <t>S</t>
    </r>
    <r>
      <rPr>
        <vertAlign val="subscript"/>
        <sz val="12"/>
        <color theme="1"/>
        <rFont val="新細明體"/>
        <family val="1"/>
        <charset val="136"/>
        <scheme val="minor"/>
      </rPr>
      <t>M1</t>
    </r>
    <r>
      <rPr>
        <sz val="12"/>
        <color theme="1"/>
        <rFont val="新細明體"/>
        <family val="1"/>
        <charset val="136"/>
        <scheme val="minor"/>
      </rPr>
      <t>=S</t>
    </r>
    <r>
      <rPr>
        <vertAlign val="subscript"/>
        <sz val="12"/>
        <color theme="1"/>
        <rFont val="新細明體"/>
        <family val="1"/>
        <charset val="136"/>
        <scheme val="minor"/>
      </rPr>
      <t>1</t>
    </r>
    <r>
      <rPr>
        <vertAlign val="superscript"/>
        <sz val="12"/>
        <color theme="1"/>
        <rFont val="新細明體"/>
        <family val="1"/>
        <charset val="136"/>
        <scheme val="minor"/>
      </rPr>
      <t>M</t>
    </r>
    <r>
      <rPr>
        <sz val="12"/>
        <color theme="1"/>
        <rFont val="新細明體"/>
        <family val="1"/>
        <charset val="136"/>
        <scheme val="minor"/>
      </rPr>
      <t>*Fv</t>
    </r>
    <r>
      <rPr>
        <vertAlign val="superscript"/>
        <sz val="12"/>
        <color theme="1"/>
        <rFont val="新細明體"/>
        <family val="1"/>
        <charset val="136"/>
        <scheme val="minor"/>
      </rPr>
      <t>M</t>
    </r>
    <r>
      <rPr>
        <sz val="12"/>
        <color theme="1"/>
        <rFont val="新細明體"/>
        <family val="1"/>
        <charset val="136"/>
        <scheme val="minor"/>
      </rPr>
      <t>*N</t>
    </r>
    <r>
      <rPr>
        <vertAlign val="subscript"/>
        <sz val="12"/>
        <color theme="1"/>
        <rFont val="新細明體"/>
        <family val="1"/>
        <charset val="136"/>
        <scheme val="minor"/>
      </rPr>
      <t>V</t>
    </r>
    <phoneticPr fontId="1" type="noConversion"/>
  </si>
  <si>
    <r>
      <t>S</t>
    </r>
    <r>
      <rPr>
        <vertAlign val="subscript"/>
        <sz val="12"/>
        <color theme="1"/>
        <rFont val="新細明體"/>
        <family val="1"/>
        <charset val="136"/>
        <scheme val="minor"/>
      </rPr>
      <t>aM</t>
    </r>
    <phoneticPr fontId="1" type="noConversion"/>
  </si>
  <si>
    <t>修正項</t>
    <phoneticPr fontId="1" type="noConversion"/>
  </si>
  <si>
    <t>V</t>
    <phoneticPr fontId="1" type="noConversion"/>
  </si>
  <si>
    <t>修正項</t>
    <phoneticPr fontId="1" type="noConversion"/>
  </si>
  <si>
    <t>長向</t>
    <phoneticPr fontId="1" type="noConversion"/>
  </si>
  <si>
    <t>短向</t>
    <phoneticPr fontId="1" type="noConversion"/>
  </si>
  <si>
    <t>工址設計譜加速度(長)</t>
    <phoneticPr fontId="1" type="noConversion"/>
  </si>
  <si>
    <t>工址最大譜加速度(長)</t>
    <phoneticPr fontId="1" type="noConversion"/>
  </si>
  <si>
    <t>工址設計譜加速度(短)</t>
    <phoneticPr fontId="1" type="noConversion"/>
  </si>
  <si>
    <t>工址最大譜加速度(短)</t>
    <phoneticPr fontId="1" type="noConversion"/>
  </si>
  <si>
    <r>
      <t>容許韌性容量R</t>
    </r>
    <r>
      <rPr>
        <b/>
        <vertAlign val="subscript"/>
        <sz val="12"/>
        <color theme="1"/>
        <rFont val="新細明體"/>
        <family val="1"/>
        <charset val="136"/>
        <scheme val="minor"/>
      </rPr>
      <t>a</t>
    </r>
    <r>
      <rPr>
        <b/>
        <sz val="12"/>
        <color theme="1"/>
        <rFont val="新細明體"/>
        <family val="1"/>
        <charset val="136"/>
        <scheme val="minor"/>
      </rPr>
      <t>(長)</t>
    </r>
    <phoneticPr fontId="1" type="noConversion"/>
  </si>
  <si>
    <t>容許韌性容量Ra(短)</t>
    <phoneticPr fontId="1" type="noConversion"/>
  </si>
  <si>
    <t>重要性係數 I</t>
    <phoneticPr fontId="1" type="noConversion"/>
  </si>
  <si>
    <r>
      <t>放大倍數</t>
    </r>
    <r>
      <rPr>
        <b/>
        <sz val="12"/>
        <color theme="1"/>
        <rFont val="新細明體"/>
        <family val="1"/>
        <charset val="136"/>
      </rPr>
      <t>α</t>
    </r>
    <r>
      <rPr>
        <b/>
        <vertAlign val="subscript"/>
        <sz val="12"/>
        <color theme="1"/>
        <rFont val="新細明體"/>
        <family val="1"/>
        <charset val="136"/>
      </rPr>
      <t>y</t>
    </r>
    <phoneticPr fontId="1" type="noConversion"/>
  </si>
  <si>
    <t>Fu設計地震力折減係數(短)</t>
    <phoneticPr fontId="1" type="noConversion"/>
  </si>
  <si>
    <t>Fu設計地震力折減係數(長)</t>
    <phoneticPr fontId="1" type="noConversion"/>
  </si>
  <si>
    <t>FuM最大地震力折減係數(長)</t>
    <phoneticPr fontId="1" type="noConversion"/>
  </si>
  <si>
    <t>FuM最大地震力折減係數(短)</t>
    <phoneticPr fontId="1" type="noConversion"/>
  </si>
  <si>
    <t>設計地震力(長向)  V</t>
    <phoneticPr fontId="1" type="noConversion"/>
  </si>
  <si>
    <t>設計地震力(短向)  V</t>
    <phoneticPr fontId="1" type="noConversion"/>
  </si>
  <si>
    <t>中小度地震(長向)  V*</t>
    <phoneticPr fontId="1" type="noConversion"/>
  </si>
  <si>
    <t>中小度地震(短向)  V*</t>
    <phoneticPr fontId="1" type="noConversion"/>
  </si>
  <si>
    <r>
      <t>最大考量地震(長向)  V</t>
    </r>
    <r>
      <rPr>
        <b/>
        <vertAlign val="subscript"/>
        <sz val="12"/>
        <color theme="1"/>
        <rFont val="新細明體"/>
        <family val="1"/>
        <charset val="136"/>
        <scheme val="minor"/>
      </rPr>
      <t>M</t>
    </r>
    <phoneticPr fontId="1" type="noConversion"/>
  </si>
  <si>
    <r>
      <t>最大考量地震(短向) V</t>
    </r>
    <r>
      <rPr>
        <b/>
        <vertAlign val="subscript"/>
        <sz val="12"/>
        <color theme="1"/>
        <rFont val="新細明體"/>
        <family val="1"/>
        <charset val="136"/>
        <scheme val="minor"/>
      </rPr>
      <t>M</t>
    </r>
    <phoneticPr fontId="1" type="noConversion"/>
  </si>
  <si>
    <t>VL</t>
    <phoneticPr fontId="1" type="noConversion"/>
  </si>
  <si>
    <t>VT</t>
    <phoneticPr fontId="1" type="noConversion"/>
  </si>
  <si>
    <t xml:space="preserve">長向設計基底剪力 (tf) </t>
  </si>
  <si>
    <t xml:space="preserve">長向設計基底剪力 (tf) </t>
    <phoneticPr fontId="1" type="noConversion"/>
  </si>
  <si>
    <t>短向設計基底剪力  (tf)</t>
    <phoneticPr fontId="1" type="noConversion"/>
  </si>
  <si>
    <t>長向地震力豎向分配</t>
    <phoneticPr fontId="1" type="noConversion"/>
  </si>
  <si>
    <t>總和</t>
    <phoneticPr fontId="1" type="noConversion"/>
  </si>
  <si>
    <t>-</t>
    <phoneticPr fontId="1" type="noConversion"/>
  </si>
  <si>
    <t>短向地震力豎向分配</t>
    <phoneticPr fontId="1" type="noConversion"/>
  </si>
  <si>
    <t xml:space="preserve">短向設計基底剪力 (tf) </t>
    <phoneticPr fontId="1" type="noConversion"/>
  </si>
  <si>
    <t>Section</t>
    <phoneticPr fontId="1" type="noConversion"/>
  </si>
  <si>
    <t>D</t>
    <phoneticPr fontId="1" type="noConversion"/>
  </si>
  <si>
    <t>B</t>
    <phoneticPr fontId="1" type="noConversion"/>
  </si>
  <si>
    <t>tw</t>
    <phoneticPr fontId="1" type="noConversion"/>
  </si>
  <si>
    <t>tf</t>
    <phoneticPr fontId="1" type="noConversion"/>
  </si>
  <si>
    <t>r(cm)</t>
    <phoneticPr fontId="1" type="noConversion"/>
  </si>
  <si>
    <t>Mass (kg/m)</t>
    <phoneticPr fontId="1" type="noConversion"/>
  </si>
  <si>
    <t>general density</t>
    <phoneticPr fontId="1" type="noConversion"/>
  </si>
  <si>
    <t>H100X50X5X7</t>
  </si>
  <si>
    <t>H100X100X6X8</t>
  </si>
  <si>
    <t>H125X60X6X8</t>
  </si>
  <si>
    <t>H125X125X6.5X9</t>
  </si>
  <si>
    <t>H150X75X5X7</t>
  </si>
  <si>
    <t>H148X100X6X9</t>
    <phoneticPr fontId="1" type="noConversion"/>
  </si>
  <si>
    <t>H150X150X7X10</t>
  </si>
  <si>
    <t>H175X90X5X8</t>
  </si>
  <si>
    <t>H175X175X7.5X11</t>
  </si>
  <si>
    <t>H198X99X4.5X7</t>
  </si>
  <si>
    <t>H200X100X5.5X8</t>
  </si>
  <si>
    <t>H194X150X6X9</t>
    <phoneticPr fontId="1" type="noConversion"/>
  </si>
  <si>
    <t>H200X200X8X12</t>
  </si>
  <si>
    <t>H200X204X12X12</t>
  </si>
  <si>
    <t>H248X124X5X8</t>
  </si>
  <si>
    <t>H250X125X5X8</t>
  </si>
  <si>
    <t>H244X175X7X11</t>
    <phoneticPr fontId="1" type="noConversion"/>
  </si>
  <si>
    <t>H250X250X9X14</t>
  </si>
  <si>
    <t>H250X255X14X14</t>
  </si>
  <si>
    <t>H298X149X5.5X8</t>
  </si>
  <si>
    <t>H300X150X6.5X9</t>
  </si>
  <si>
    <t>H294X200X8X12</t>
    <phoneticPr fontId="1" type="noConversion"/>
  </si>
  <si>
    <t>H294X302X12X12</t>
  </si>
  <si>
    <t>H300X300X10X15</t>
  </si>
  <si>
    <t>H300X305X15X15</t>
  </si>
  <si>
    <t>H304X301X11X17</t>
  </si>
  <si>
    <t>H312X303X13X21</t>
  </si>
  <si>
    <t>H318X307X17X24</t>
  </si>
  <si>
    <t>H326X310X20X28</t>
  </si>
  <si>
    <t>H346X174X6X9</t>
  </si>
  <si>
    <t>H350X175X7X11</t>
  </si>
  <si>
    <t>H336X249X8X12</t>
  </si>
  <si>
    <t>H340X250X9X14</t>
  </si>
  <si>
    <t>H350X252X11X19</t>
  </si>
  <si>
    <t>H356X256X15X22</t>
  </si>
  <si>
    <t>H364X258X17X26</t>
  </si>
  <si>
    <t>H338X351X13X13</t>
  </si>
  <si>
    <t>H344X348X10X16</t>
  </si>
  <si>
    <t>H344X354X16X16</t>
  </si>
  <si>
    <t>H350X350X12X19</t>
  </si>
  <si>
    <t>H350X357X19X19</t>
  </si>
  <si>
    <t>H360X354X16X24</t>
  </si>
  <si>
    <t>H368X356X18X28</t>
  </si>
  <si>
    <t>H378X358X20X33</t>
    <phoneticPr fontId="1" type="noConversion"/>
  </si>
  <si>
    <t>H396X199X7X11</t>
  </si>
  <si>
    <t>H400X200X8X13</t>
  </si>
  <si>
    <t>H386X299X9X14</t>
  </si>
  <si>
    <t>H390X300X10X16</t>
    <phoneticPr fontId="1" type="noConversion"/>
  </si>
  <si>
    <t>H400X304X14X21</t>
  </si>
  <si>
    <t>H410X308X18X26</t>
  </si>
  <si>
    <t>H418X310X20X30</t>
  </si>
  <si>
    <t>H388X402X15X15</t>
  </si>
  <si>
    <t>H394X398X11X18</t>
  </si>
  <si>
    <t>H394X405X18X18</t>
  </si>
  <si>
    <t>H400X400X13X21</t>
  </si>
  <si>
    <t>H400X408X21X21</t>
  </si>
  <si>
    <t>H414X405X18X28</t>
  </si>
  <si>
    <t>H428X407X20X35</t>
  </si>
  <si>
    <t>H446X199X8X12</t>
  </si>
  <si>
    <t>H450X200X9X14</t>
  </si>
  <si>
    <t>H456X201X10X17</t>
  </si>
  <si>
    <t>H466X205X14X22</t>
  </si>
  <si>
    <t>H478X208X17X28</t>
  </si>
  <si>
    <t>H434X299X10X15</t>
  </si>
  <si>
    <t>H440X300X11X18</t>
    <phoneticPr fontId="1" type="noConversion"/>
  </si>
  <si>
    <t>H446X302X13X21</t>
  </si>
  <si>
    <t>H450X304X15X23</t>
  </si>
  <si>
    <t>H458X306X17X27</t>
  </si>
  <si>
    <t>H468X308X19X32</t>
  </si>
  <si>
    <t>H496X199X9X14</t>
  </si>
  <si>
    <t>H500X200X10X16</t>
  </si>
  <si>
    <t>H506X201X11X19</t>
  </si>
  <si>
    <t>H512X202X12X22</t>
  </si>
  <si>
    <t>H518X205X15X25</t>
  </si>
  <si>
    <t>H528X208X15X25</t>
    <phoneticPr fontId="1" type="noConversion"/>
  </si>
  <si>
    <t>H536X210X20X34</t>
  </si>
  <si>
    <t>H548X215X25X40</t>
  </si>
  <si>
    <t>H482X300X11X15</t>
  </si>
  <si>
    <t>H488X300X11X18</t>
  </si>
  <si>
    <t>H494X302X13X21</t>
  </si>
  <si>
    <t>H500X304X15X24</t>
    <phoneticPr fontId="1" type="noConversion"/>
  </si>
  <si>
    <t>H510X306X17X29</t>
  </si>
  <si>
    <t>H518X310X21X33</t>
  </si>
  <si>
    <t>H532X314X25X40</t>
  </si>
  <si>
    <t>H596X199X10X15</t>
  </si>
  <si>
    <t>H600X200X11X17</t>
  </si>
  <si>
    <t>H606X201X12X20</t>
  </si>
  <si>
    <t>H612X202X13X23</t>
  </si>
  <si>
    <t>H618X205X16X26</t>
  </si>
  <si>
    <t>H626X207X18X30</t>
  </si>
  <si>
    <t>H634X209X20X34</t>
  </si>
  <si>
    <t>H646X214X25X40</t>
  </si>
  <si>
    <t>H582X300X12X17</t>
  </si>
  <si>
    <t>H588X300X12X20</t>
  </si>
  <si>
    <t>H594X302X14X23</t>
  </si>
  <si>
    <t>H600X304X16X26</t>
    <phoneticPr fontId="1" type="noConversion"/>
  </si>
  <si>
    <t>H608X306X18X30</t>
  </si>
  <si>
    <t>H616X308X20X34</t>
  </si>
  <si>
    <t>H628X312X24X40</t>
  </si>
  <si>
    <t>H692X300X13X20</t>
  </si>
  <si>
    <t>H700X300X13X24</t>
  </si>
  <si>
    <t>H708X302X15X28</t>
  </si>
  <si>
    <t>H712X306X19X30</t>
  </si>
  <si>
    <t>H718X308X21X33</t>
  </si>
  <si>
    <t>H732X311X24X40</t>
  </si>
  <si>
    <t>H792X300X14X22</t>
  </si>
  <si>
    <t>H800X300X14X26</t>
  </si>
  <si>
    <t>H808X302X16X30</t>
  </si>
  <si>
    <t>H816X306X20X34</t>
    <phoneticPr fontId="1" type="noConversion"/>
  </si>
  <si>
    <t>D(mm)</t>
    <phoneticPr fontId="1" type="noConversion"/>
  </si>
  <si>
    <t>rx(cm)</t>
    <phoneticPr fontId="1" type="noConversion"/>
  </si>
  <si>
    <t>ry(cm)</t>
    <phoneticPr fontId="1" type="noConversion"/>
  </si>
  <si>
    <r>
      <t>Shear Area(cm</t>
    </r>
    <r>
      <rPr>
        <b/>
        <vertAlign val="superscript"/>
        <sz val="12"/>
        <color theme="1"/>
        <rFont val="新細明體"/>
        <family val="1"/>
        <charset val="136"/>
        <scheme val="minor"/>
      </rPr>
      <t>2</t>
    </r>
    <r>
      <rPr>
        <b/>
        <sz val="12"/>
        <color theme="1"/>
        <rFont val="新細明體"/>
        <family val="1"/>
        <charset val="136"/>
        <scheme val="minor"/>
      </rPr>
      <t>)</t>
    </r>
    <phoneticPr fontId="1" type="noConversion"/>
  </si>
  <si>
    <r>
      <t>Total Area(cm</t>
    </r>
    <r>
      <rPr>
        <b/>
        <vertAlign val="superscript"/>
        <sz val="12"/>
        <color theme="1"/>
        <rFont val="新細明體"/>
        <family val="1"/>
        <charset val="136"/>
        <scheme val="minor"/>
      </rPr>
      <t>2</t>
    </r>
    <r>
      <rPr>
        <b/>
        <sz val="12"/>
        <color theme="1"/>
        <rFont val="新細明體"/>
        <family val="1"/>
        <charset val="136"/>
        <scheme val="minor"/>
      </rPr>
      <t>)</t>
    </r>
    <phoneticPr fontId="1" type="noConversion"/>
  </si>
  <si>
    <r>
      <t>Z(cm</t>
    </r>
    <r>
      <rPr>
        <b/>
        <vertAlign val="superscript"/>
        <sz val="12"/>
        <color theme="1"/>
        <rFont val="新細明體"/>
        <family val="1"/>
        <charset val="136"/>
        <scheme val="minor"/>
      </rPr>
      <t>3</t>
    </r>
    <r>
      <rPr>
        <b/>
        <sz val="12"/>
        <color theme="1"/>
        <rFont val="新細明體"/>
        <family val="1"/>
        <charset val="136"/>
        <scheme val="minor"/>
      </rPr>
      <t>)</t>
    </r>
    <phoneticPr fontId="1" type="noConversion"/>
  </si>
  <si>
    <r>
      <t>Ix(cm</t>
    </r>
    <r>
      <rPr>
        <b/>
        <vertAlign val="superscript"/>
        <sz val="12"/>
        <color theme="1"/>
        <rFont val="新細明體"/>
        <family val="1"/>
        <charset val="136"/>
        <scheme val="minor"/>
      </rPr>
      <t>4</t>
    </r>
    <r>
      <rPr>
        <b/>
        <sz val="12"/>
        <color theme="1"/>
        <rFont val="新細明體"/>
        <family val="1"/>
        <charset val="136"/>
        <scheme val="minor"/>
      </rPr>
      <t>)</t>
    </r>
    <phoneticPr fontId="1" type="noConversion"/>
  </si>
  <si>
    <r>
      <t>Iy(cm</t>
    </r>
    <r>
      <rPr>
        <b/>
        <vertAlign val="superscript"/>
        <sz val="12"/>
        <color theme="1"/>
        <rFont val="新細明體"/>
        <family val="1"/>
        <charset val="136"/>
        <scheme val="minor"/>
      </rPr>
      <t>4</t>
    </r>
    <r>
      <rPr>
        <b/>
        <sz val="12"/>
        <color theme="1"/>
        <rFont val="新細明體"/>
        <family val="1"/>
        <charset val="136"/>
        <scheme val="minor"/>
      </rPr>
      <t>)</t>
    </r>
    <phoneticPr fontId="1" type="noConversion"/>
  </si>
  <si>
    <r>
      <t>Density(kg/m</t>
    </r>
    <r>
      <rPr>
        <b/>
        <vertAlign val="superscript"/>
        <sz val="12"/>
        <color theme="1"/>
        <rFont val="新細明體"/>
        <family val="1"/>
        <charset val="136"/>
        <scheme val="minor"/>
      </rPr>
      <t>3</t>
    </r>
    <r>
      <rPr>
        <b/>
        <sz val="12"/>
        <color theme="1"/>
        <rFont val="新細明體"/>
        <family val="1"/>
        <charset val="136"/>
        <scheme val="minor"/>
      </rPr>
      <t>)</t>
    </r>
    <phoneticPr fontId="1" type="noConversion"/>
  </si>
  <si>
    <t>Story</t>
    <phoneticPr fontId="1" type="noConversion"/>
  </si>
  <si>
    <t>Ix</t>
    <phoneticPr fontId="1" type="noConversion"/>
  </si>
  <si>
    <t>Iy</t>
    <phoneticPr fontId="1" type="noConversion"/>
  </si>
  <si>
    <t>Iz</t>
    <phoneticPr fontId="1" type="noConversion"/>
  </si>
  <si>
    <t>平面尺寸(unit:m)</t>
    <phoneticPr fontId="1" type="noConversion"/>
  </si>
  <si>
    <t>Mass(kgf)</t>
    <phoneticPr fontId="1" type="noConversion"/>
  </si>
  <si>
    <t>長x</t>
    <phoneticPr fontId="1" type="noConversion"/>
  </si>
  <si>
    <t>寬y</t>
    <phoneticPr fontId="1" type="noConversion"/>
  </si>
  <si>
    <t>厚z</t>
    <phoneticPr fontId="1" type="noConversion"/>
  </si>
  <si>
    <t>鋼材選擇</t>
    <phoneticPr fontId="1" type="noConversion"/>
  </si>
  <si>
    <t>A572GR50</t>
    <phoneticPr fontId="1" type="noConversion"/>
  </si>
  <si>
    <t>Fy (tf/cm2)</t>
    <phoneticPr fontId="1" type="noConversion"/>
  </si>
  <si>
    <t>構架數</t>
    <phoneticPr fontId="1" type="noConversion"/>
  </si>
  <si>
    <t>DCR (%)</t>
    <phoneticPr fontId="1" type="noConversion"/>
  </si>
  <si>
    <t>CHECK</t>
    <phoneticPr fontId="1" type="noConversion"/>
  </si>
  <si>
    <t>H600X304X16X26</t>
  </si>
  <si>
    <t>軸力容量(tf)</t>
    <phoneticPr fontId="1" type="noConversion"/>
  </si>
  <si>
    <t>軸力需求(story shear)</t>
    <phoneticPr fontId="1" type="noConversion"/>
  </si>
  <si>
    <t>塑性設計斷面CHECK</t>
  </si>
  <si>
    <t>非彈性屈曲CHECK</t>
    <phoneticPr fontId="1" type="noConversion"/>
  </si>
  <si>
    <t>翼板</t>
    <phoneticPr fontId="1" type="noConversion"/>
  </si>
  <si>
    <t>腹板</t>
    <phoneticPr fontId="1" type="noConversion"/>
  </si>
  <si>
    <t>塑性斷面模數</t>
    <phoneticPr fontId="1" type="noConversion"/>
  </si>
  <si>
    <t>牆柱弱梁CHECK</t>
    <phoneticPr fontId="1" type="noConversion"/>
  </si>
  <si>
    <t>柱斷面選擇</t>
    <phoneticPr fontId="1" type="noConversion"/>
  </si>
  <si>
    <t>梁斷面選擇</t>
    <phoneticPr fontId="1" type="noConversion"/>
  </si>
  <si>
    <t>E(tf/cm2)</t>
    <phoneticPr fontId="1" type="noConversion"/>
  </si>
  <si>
    <t>弱軸λy</t>
    <phoneticPr fontId="1" type="noConversion"/>
  </si>
  <si>
    <t>BOX350X350X16</t>
    <phoneticPr fontId="1" type="noConversion"/>
  </si>
  <si>
    <t>BOX400X400X16</t>
  </si>
  <si>
    <t>BOX400X400X22</t>
  </si>
  <si>
    <t>BOX400X400X25</t>
  </si>
  <si>
    <t>BOX400X400X28</t>
  </si>
  <si>
    <t>BOX400X400X32</t>
  </si>
  <si>
    <t>BOX400X400X36</t>
  </si>
  <si>
    <t>BOX450X450X16</t>
  </si>
  <si>
    <t>BOX450X450X19</t>
  </si>
  <si>
    <t>BOX450X450X22</t>
  </si>
  <si>
    <t>BOX450X450X25</t>
  </si>
  <si>
    <t>BOX450X450X28</t>
  </si>
  <si>
    <t>BOX450X450X32</t>
  </si>
  <si>
    <t>BOX450X450X36</t>
  </si>
  <si>
    <t>BOX500X500X19</t>
  </si>
  <si>
    <t>BOX500X500X22</t>
  </si>
  <si>
    <t>BOX500X500X25</t>
  </si>
  <si>
    <t>BOX500X500X28</t>
  </si>
  <si>
    <t>BOX500X500X32</t>
  </si>
  <si>
    <t>BOX500X500X36</t>
  </si>
  <si>
    <t>BOX500X500X40</t>
  </si>
  <si>
    <t>BOX550X550X19</t>
  </si>
  <si>
    <t>BOX550X550X22</t>
  </si>
  <si>
    <t>BOX550X550X25</t>
  </si>
  <si>
    <t>BOX550X550X28</t>
  </si>
  <si>
    <t>BOX550X550X32</t>
  </si>
  <si>
    <t>BOX550X550X36</t>
  </si>
  <si>
    <t>BOX550X550X40</t>
  </si>
  <si>
    <t>BOX600X600X22</t>
  </si>
  <si>
    <t>BOX600X600X25</t>
  </si>
  <si>
    <t>BOX600X600X28</t>
  </si>
  <si>
    <t>BOX600X600X32</t>
  </si>
  <si>
    <t>BOX600X600X36</t>
  </si>
  <si>
    <t>BOX600X600X40</t>
  </si>
  <si>
    <t>BOX600X600X45</t>
  </si>
  <si>
    <t>BOX600X600X50</t>
  </si>
  <si>
    <t>BOX650X650X22</t>
  </si>
  <si>
    <t>BOX650X650X25</t>
  </si>
  <si>
    <t>BOX650X650X28</t>
  </si>
  <si>
    <t>BOX650X650X32</t>
  </si>
  <si>
    <t>BOX650X650X36</t>
  </si>
  <si>
    <t>BOX650X650X40</t>
  </si>
  <si>
    <t>BOX650X650X45</t>
  </si>
  <si>
    <t>BOX650X650X50</t>
  </si>
  <si>
    <t>BOX700X700X22</t>
  </si>
  <si>
    <t>BOX700X700X25</t>
  </si>
  <si>
    <t>BOX700X700X28</t>
  </si>
  <si>
    <t>BOX700X700X32</t>
  </si>
  <si>
    <t>BOX700X700X36</t>
  </si>
  <si>
    <t>BOX700X700X40</t>
  </si>
  <si>
    <t>BOX700X700X45</t>
  </si>
  <si>
    <t>BOX700X700X50</t>
  </si>
  <si>
    <t>BOX750X750X22</t>
  </si>
  <si>
    <t>BOX750X750X25</t>
  </si>
  <si>
    <t>BOX750X750X28</t>
  </si>
  <si>
    <t>BOX750X750X32</t>
  </si>
  <si>
    <t>BOX750X750X36</t>
  </si>
  <si>
    <t>BOX750X750X40</t>
  </si>
  <si>
    <t>BOX750X750X45</t>
  </si>
  <si>
    <t>BOX750X750X50</t>
  </si>
  <si>
    <t>BOX800X800X25</t>
  </si>
  <si>
    <t>BOX800X800X28</t>
  </si>
  <si>
    <t>BOX800X800X32</t>
  </si>
  <si>
    <t>BOX800X800X36</t>
  </si>
  <si>
    <t>BOX800X800X40</t>
  </si>
  <si>
    <t>BOX800X800X45</t>
  </si>
  <si>
    <t>BOX800X800X50</t>
  </si>
  <si>
    <t>BOX850X850X25</t>
  </si>
  <si>
    <t>BOX850X850X28</t>
  </si>
  <si>
    <t>BOX850X850X32</t>
  </si>
  <si>
    <t>BOX850X850X36</t>
  </si>
  <si>
    <t>BOX850X850X40</t>
  </si>
  <si>
    <t>BOX850X850X45</t>
  </si>
  <si>
    <t>BOX850X850X50</t>
  </si>
  <si>
    <t>BOX900X900X25</t>
  </si>
  <si>
    <t>BOX900X900X28</t>
  </si>
  <si>
    <t>BOX900X900X32</t>
  </si>
  <si>
    <t>BOX900X900X36</t>
  </si>
  <si>
    <t>BOX900X900X40</t>
  </si>
  <si>
    <t>BOX900X900X45</t>
  </si>
  <si>
    <t>BOX900X900X50</t>
  </si>
  <si>
    <r>
      <t>Total Area(cm</t>
    </r>
    <r>
      <rPr>
        <b/>
        <vertAlign val="superscript"/>
        <sz val="12"/>
        <color theme="1"/>
        <rFont val="新細明體"/>
        <family val="1"/>
        <charset val="136"/>
        <scheme val="minor"/>
      </rPr>
      <t>2</t>
    </r>
    <r>
      <rPr>
        <b/>
        <sz val="12"/>
        <color theme="1"/>
        <rFont val="新細明體"/>
        <family val="1"/>
        <charset val="136"/>
        <scheme val="minor"/>
      </rPr>
      <t>)</t>
    </r>
  </si>
  <si>
    <r>
      <t>Z(cm</t>
    </r>
    <r>
      <rPr>
        <b/>
        <vertAlign val="superscript"/>
        <sz val="12"/>
        <color theme="1"/>
        <rFont val="新細明體"/>
        <family val="1"/>
        <charset val="136"/>
        <scheme val="minor"/>
      </rPr>
      <t>3</t>
    </r>
    <r>
      <rPr>
        <b/>
        <sz val="12"/>
        <color theme="1"/>
        <rFont val="新細明體"/>
        <family val="1"/>
        <charset val="136"/>
        <scheme val="minor"/>
      </rPr>
      <t>)</t>
    </r>
  </si>
  <si>
    <r>
      <t>I(cm</t>
    </r>
    <r>
      <rPr>
        <b/>
        <vertAlign val="superscript"/>
        <sz val="12"/>
        <color theme="1"/>
        <rFont val="新細明體"/>
        <family val="1"/>
        <charset val="136"/>
        <scheme val="minor"/>
      </rPr>
      <t>4</t>
    </r>
    <r>
      <rPr>
        <b/>
        <sz val="12"/>
        <color theme="1"/>
        <rFont val="新細明體"/>
        <family val="1"/>
        <charset val="136"/>
        <scheme val="minor"/>
      </rPr>
      <t>)</t>
    </r>
    <phoneticPr fontId="1" type="noConversion"/>
  </si>
  <si>
    <t>LINK</t>
    <phoneticPr fontId="1" type="noConversion"/>
  </si>
  <si>
    <t>Link Length(cm)</t>
    <phoneticPr fontId="1" type="noConversion"/>
  </si>
  <si>
    <t>Vu</t>
    <phoneticPr fontId="1" type="noConversion"/>
  </si>
  <si>
    <t>CAPACITY</t>
    <phoneticPr fontId="1" type="noConversion"/>
  </si>
  <si>
    <t>Vp(tf)</t>
    <phoneticPr fontId="1" type="noConversion"/>
  </si>
  <si>
    <t>Beam Length(out)</t>
    <phoneticPr fontId="1" type="noConversion"/>
  </si>
  <si>
    <t>Mp(tf-cm)</t>
    <phoneticPr fontId="1" type="noConversion"/>
  </si>
  <si>
    <t>Story Shear (25%)</t>
    <phoneticPr fontId="1" type="noConversion"/>
  </si>
  <si>
    <t>1.6Mp/Vp</t>
    <phoneticPr fontId="1" type="noConversion"/>
  </si>
  <si>
    <t>2.6Mp/Vp</t>
    <phoneticPr fontId="1" type="noConversion"/>
  </si>
  <si>
    <t>Link Type</t>
    <phoneticPr fontId="1" type="noConversion"/>
  </si>
  <si>
    <t>DCR</t>
    <phoneticPr fontId="1" type="noConversion"/>
  </si>
  <si>
    <t>DEMAND</t>
    <phoneticPr fontId="1" type="noConversion"/>
  </si>
  <si>
    <t>CAPACITY*0.9</t>
    <phoneticPr fontId="1" type="noConversion"/>
  </si>
  <si>
    <t>D/C</t>
    <phoneticPr fontId="1" type="noConversion"/>
  </si>
  <si>
    <t>BRACE</t>
    <phoneticPr fontId="1" type="noConversion"/>
  </si>
  <si>
    <t>(RF) 4F</t>
    <phoneticPr fontId="1" type="noConversion"/>
  </si>
  <si>
    <t>Vult (tf)</t>
    <phoneticPr fontId="1" type="noConversion"/>
  </si>
  <si>
    <t>Section</t>
    <phoneticPr fontId="1" type="noConversion"/>
  </si>
  <si>
    <t>Section box</t>
    <phoneticPr fontId="1" type="noConversion"/>
  </si>
  <si>
    <t>BOX350X350X16</t>
  </si>
  <si>
    <t>Vult</t>
    <phoneticPr fontId="1" type="noConversion"/>
  </si>
  <si>
    <t>Mult</t>
    <phoneticPr fontId="1" type="noConversion"/>
  </si>
  <si>
    <t>BEAM (OUT)</t>
    <phoneticPr fontId="1" type="noConversion"/>
  </si>
  <si>
    <t>DEMAND</t>
    <phoneticPr fontId="1" type="noConversion"/>
  </si>
  <si>
    <t>Mult (tf-cm)</t>
    <phoneticPr fontId="1" type="noConversion"/>
  </si>
  <si>
    <r>
      <t>L</t>
    </r>
    <r>
      <rPr>
        <b/>
        <vertAlign val="subscript"/>
        <sz val="12"/>
        <color theme="1"/>
        <rFont val="新細明體"/>
        <family val="1"/>
        <charset val="136"/>
        <scheme val="minor"/>
      </rPr>
      <t xml:space="preserve">BR </t>
    </r>
    <r>
      <rPr>
        <b/>
        <sz val="12"/>
        <color theme="1"/>
        <rFont val="新細明體"/>
        <family val="1"/>
        <charset val="136"/>
        <scheme val="minor"/>
      </rPr>
      <t>(cm)</t>
    </r>
    <phoneticPr fontId="1" type="noConversion"/>
  </si>
  <si>
    <r>
      <t>I</t>
    </r>
    <r>
      <rPr>
        <b/>
        <vertAlign val="subscript"/>
        <sz val="12"/>
        <color theme="1"/>
        <rFont val="新細明體"/>
        <family val="1"/>
        <charset val="136"/>
        <scheme val="minor"/>
      </rPr>
      <t xml:space="preserve">BR </t>
    </r>
    <r>
      <rPr>
        <b/>
        <sz val="12"/>
        <color theme="1"/>
        <rFont val="新細明體"/>
        <family val="1"/>
        <charset val="136"/>
        <scheme val="minor"/>
      </rPr>
      <t>(cm</t>
    </r>
    <r>
      <rPr>
        <b/>
        <vertAlign val="superscript"/>
        <sz val="12"/>
        <color theme="1"/>
        <rFont val="新細明體"/>
        <family val="1"/>
        <charset val="136"/>
        <scheme val="minor"/>
      </rPr>
      <t>3</t>
    </r>
    <r>
      <rPr>
        <b/>
        <sz val="12"/>
        <color theme="1"/>
        <rFont val="新細明體"/>
        <family val="1"/>
        <charset val="136"/>
        <scheme val="minor"/>
      </rPr>
      <t>)</t>
    </r>
    <phoneticPr fontId="1" type="noConversion"/>
  </si>
  <si>
    <r>
      <t>I</t>
    </r>
    <r>
      <rPr>
        <b/>
        <vertAlign val="subscript"/>
        <sz val="12"/>
        <color theme="1"/>
        <rFont val="新細明體"/>
        <family val="1"/>
        <charset val="136"/>
        <scheme val="minor"/>
      </rPr>
      <t>BR</t>
    </r>
    <r>
      <rPr>
        <b/>
        <sz val="12"/>
        <color theme="1"/>
        <rFont val="新細明體"/>
        <family val="1"/>
        <charset val="136"/>
        <scheme val="minor"/>
      </rPr>
      <t>/L</t>
    </r>
    <r>
      <rPr>
        <b/>
        <vertAlign val="subscript"/>
        <sz val="12"/>
        <color theme="1"/>
        <rFont val="新細明體"/>
        <family val="1"/>
        <charset val="136"/>
        <scheme val="minor"/>
      </rPr>
      <t>BR</t>
    </r>
    <phoneticPr fontId="1" type="noConversion"/>
  </si>
  <si>
    <r>
      <t>L</t>
    </r>
    <r>
      <rPr>
        <b/>
        <vertAlign val="subscript"/>
        <sz val="12"/>
        <color theme="1"/>
        <rFont val="新細明體"/>
        <family val="1"/>
        <charset val="136"/>
        <scheme val="minor"/>
      </rPr>
      <t xml:space="preserve">B </t>
    </r>
    <r>
      <rPr>
        <b/>
        <sz val="12"/>
        <color theme="1"/>
        <rFont val="新細明體"/>
        <family val="1"/>
        <charset val="136"/>
        <scheme val="minor"/>
      </rPr>
      <t>(cm)</t>
    </r>
    <phoneticPr fontId="1" type="noConversion"/>
  </si>
  <si>
    <r>
      <t>I</t>
    </r>
    <r>
      <rPr>
        <b/>
        <vertAlign val="subscript"/>
        <sz val="12"/>
        <color theme="1"/>
        <rFont val="新細明體"/>
        <family val="1"/>
        <charset val="136"/>
        <scheme val="minor"/>
      </rPr>
      <t xml:space="preserve">B </t>
    </r>
    <r>
      <rPr>
        <b/>
        <sz val="12"/>
        <color theme="1"/>
        <rFont val="新細明體"/>
        <family val="1"/>
        <charset val="136"/>
        <scheme val="minor"/>
      </rPr>
      <t>(cm</t>
    </r>
    <r>
      <rPr>
        <b/>
        <vertAlign val="superscript"/>
        <sz val="12"/>
        <color theme="1"/>
        <rFont val="新細明體"/>
        <family val="1"/>
        <charset val="136"/>
        <scheme val="minor"/>
      </rPr>
      <t>3</t>
    </r>
    <r>
      <rPr>
        <b/>
        <sz val="12"/>
        <color theme="1"/>
        <rFont val="新細明體"/>
        <family val="1"/>
        <charset val="136"/>
        <scheme val="minor"/>
      </rPr>
      <t>)</t>
    </r>
    <phoneticPr fontId="1" type="noConversion"/>
  </si>
  <si>
    <r>
      <t>I</t>
    </r>
    <r>
      <rPr>
        <b/>
        <vertAlign val="subscript"/>
        <sz val="12"/>
        <color theme="1"/>
        <rFont val="新細明體"/>
        <family val="1"/>
        <charset val="136"/>
        <scheme val="minor"/>
      </rPr>
      <t>B</t>
    </r>
    <r>
      <rPr>
        <b/>
        <sz val="12"/>
        <color theme="1"/>
        <rFont val="新細明體"/>
        <family val="1"/>
        <charset val="136"/>
        <scheme val="minor"/>
      </rPr>
      <t>/L</t>
    </r>
    <r>
      <rPr>
        <b/>
        <vertAlign val="subscript"/>
        <sz val="12"/>
        <color theme="1"/>
        <rFont val="新細明體"/>
        <family val="1"/>
        <charset val="136"/>
        <scheme val="minor"/>
      </rPr>
      <t>B</t>
    </r>
    <phoneticPr fontId="1" type="noConversion"/>
  </si>
  <si>
    <t>Pult</t>
    <phoneticPr fontId="1" type="noConversion"/>
  </si>
  <si>
    <t>Ry</t>
    <phoneticPr fontId="1" type="noConversion"/>
  </si>
  <si>
    <t>THETA (deg)</t>
    <phoneticPr fontId="1" type="noConversion"/>
  </si>
  <si>
    <t>CAPACITY OF BEAM &amp; BRACE (Link force)</t>
    <phoneticPr fontId="1" type="noConversion"/>
  </si>
  <si>
    <t>CAPACITY</t>
    <phoneticPr fontId="1" type="noConversion"/>
  </si>
  <si>
    <r>
      <t>強軸</t>
    </r>
    <r>
      <rPr>
        <b/>
        <sz val="12"/>
        <color theme="1"/>
        <rFont val="新細明體"/>
        <family val="1"/>
        <charset val="136"/>
      </rPr>
      <t>λx</t>
    </r>
    <phoneticPr fontId="1" type="noConversion"/>
  </si>
  <si>
    <t>λ</t>
    <phoneticPr fontId="1" type="noConversion"/>
  </si>
  <si>
    <t>非彈性屈曲CHECK</t>
  </si>
  <si>
    <t>CHECK</t>
    <phoneticPr fontId="1" type="noConversion"/>
  </si>
  <si>
    <t>Pn (tf)</t>
    <phoneticPr fontId="1" type="noConversion"/>
  </si>
  <si>
    <t>Mn (tf-cm)</t>
    <phoneticPr fontId="1" type="noConversion"/>
  </si>
  <si>
    <r>
      <t>φ</t>
    </r>
    <r>
      <rPr>
        <b/>
        <vertAlign val="subscript"/>
        <sz val="12"/>
        <color theme="1"/>
        <rFont val="新細明體"/>
        <family val="1"/>
        <charset val="136"/>
      </rPr>
      <t>c</t>
    </r>
    <phoneticPr fontId="1" type="noConversion"/>
  </si>
  <si>
    <r>
      <t>φ</t>
    </r>
    <r>
      <rPr>
        <b/>
        <vertAlign val="subscript"/>
        <sz val="12"/>
        <color theme="1"/>
        <rFont val="新細明體"/>
        <family val="1"/>
        <charset val="136"/>
      </rPr>
      <t>b</t>
    </r>
    <phoneticPr fontId="1" type="noConversion"/>
  </si>
  <si>
    <t>λ-weak</t>
    <phoneticPr fontId="1" type="noConversion"/>
  </si>
  <si>
    <t>COLUMN</t>
    <phoneticPr fontId="1" type="noConversion"/>
  </si>
  <si>
    <t>BOX350X350X16</t>
    <phoneticPr fontId="1" type="noConversion"/>
  </si>
  <si>
    <r>
      <t>Fy (tf/cm</t>
    </r>
    <r>
      <rPr>
        <vertAlign val="superscript"/>
        <sz val="12"/>
        <color theme="1"/>
        <rFont val="新細明體"/>
        <family val="1"/>
        <charset val="136"/>
        <scheme val="minor"/>
      </rPr>
      <t>2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</si>
  <si>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r>
      <t>E(tf/cm</t>
    </r>
    <r>
      <rPr>
        <vertAlign val="superscript"/>
        <sz val="12"/>
        <color theme="1"/>
        <rFont val="新細明體"/>
        <family val="1"/>
        <charset val="136"/>
        <scheme val="minor"/>
      </rPr>
      <t>2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</si>
  <si>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(仍以受壓檢核)</t>
    <phoneticPr fontId="1" type="noConversion"/>
  </si>
  <si>
    <t>BEAM</t>
    <phoneticPr fontId="1" type="noConversion"/>
  </si>
  <si>
    <t>COLUMN</t>
    <phoneticPr fontId="1" type="noConversion"/>
  </si>
  <si>
    <t>塑性斷面模數Z</t>
    <phoneticPr fontId="1" type="noConversion"/>
  </si>
  <si>
    <t>H378X358X20X33</t>
  </si>
  <si>
    <t>強柱弱梁CHECK</t>
    <phoneticPr fontId="1" type="noConversion"/>
  </si>
  <si>
    <t>Q</t>
    <phoneticPr fontId="1" type="noConversion"/>
  </si>
  <si>
    <t>BRB</t>
    <phoneticPr fontId="1" type="noConversion"/>
  </si>
  <si>
    <t>Story Height (cm)</t>
    <phoneticPr fontId="1" type="noConversion"/>
  </si>
  <si>
    <t>Lwp</t>
    <phoneticPr fontId="1" type="noConversion"/>
  </si>
  <si>
    <t>θ(deg)</t>
    <phoneticPr fontId="1" type="noConversion"/>
  </si>
  <si>
    <t>Pu (tf)</t>
    <phoneticPr fontId="1" type="noConversion"/>
  </si>
  <si>
    <t>DEMAND &amp; CAPACITY</t>
    <phoneticPr fontId="1" type="noConversion"/>
  </si>
  <si>
    <t>ω</t>
    <phoneticPr fontId="1" type="noConversion"/>
  </si>
  <si>
    <t>β</t>
    <phoneticPr fontId="1" type="noConversion"/>
  </si>
  <si>
    <t>Ac (cm2)</t>
    <phoneticPr fontId="1" type="noConversion"/>
  </si>
  <si>
    <t>BRB Core Section(mm)</t>
    <phoneticPr fontId="1" type="noConversion"/>
  </si>
  <si>
    <t>φPnt</t>
  </si>
  <si>
    <t>強柱弱梁CHECK</t>
    <phoneticPr fontId="1" type="noConversion"/>
  </si>
  <si>
    <r>
      <t>weight/area(kgf/m</t>
    </r>
    <r>
      <rPr>
        <b/>
        <vertAlign val="superscript"/>
        <sz val="12"/>
        <color theme="1"/>
        <rFont val="新細明體"/>
        <family val="1"/>
        <charset val="136"/>
        <scheme val="minor"/>
      </rPr>
      <t>2</t>
    </r>
    <r>
      <rPr>
        <b/>
        <sz val="12"/>
        <color theme="1"/>
        <rFont val="新細明體"/>
        <family val="1"/>
        <charset val="136"/>
        <scheme val="minor"/>
      </rPr>
      <t>)</t>
    </r>
    <phoneticPr fontId="1" type="noConversion"/>
  </si>
  <si>
    <r>
      <t>area (m</t>
    </r>
    <r>
      <rPr>
        <b/>
        <vertAlign val="superscript"/>
        <sz val="12"/>
        <color theme="1"/>
        <rFont val="新細明體"/>
        <family val="1"/>
        <charset val="136"/>
        <scheme val="minor"/>
      </rPr>
      <t>2</t>
    </r>
    <r>
      <rPr>
        <b/>
        <sz val="12"/>
        <color theme="1"/>
        <rFont val="新細明體"/>
        <family val="1"/>
        <charset val="136"/>
        <scheme val="minor"/>
      </rPr>
      <t>)</t>
    </r>
    <phoneticPr fontId="1" type="noConversion"/>
  </si>
  <si>
    <r>
      <t>Required Ac (cm</t>
    </r>
    <r>
      <rPr>
        <b/>
        <vertAlign val="superscript"/>
        <sz val="12"/>
        <rFont val="新細明體"/>
        <family val="1"/>
        <charset val="136"/>
        <scheme val="minor"/>
      </rPr>
      <t>2</t>
    </r>
    <r>
      <rPr>
        <b/>
        <sz val="12"/>
        <rFont val="新細明體"/>
        <family val="1"/>
        <charset val="136"/>
        <scheme val="minor"/>
      </rPr>
      <t>)</t>
    </r>
    <phoneticPr fontId="1" type="noConversion"/>
  </si>
  <si>
    <t>Keff</t>
    <phoneticPr fontId="1" type="noConversion"/>
  </si>
  <si>
    <t>Tmax</t>
    <phoneticPr fontId="1" type="noConversion"/>
  </si>
  <si>
    <t>Cmax</t>
    <phoneticPr fontId="1" type="noConversion"/>
  </si>
  <si>
    <r>
      <t>P</t>
    </r>
    <r>
      <rPr>
        <b/>
        <vertAlign val="subscript"/>
        <sz val="12"/>
        <color theme="1"/>
        <rFont val="新細明體"/>
        <family val="1"/>
        <charset val="136"/>
        <scheme val="minor"/>
      </rPr>
      <t>ult</t>
    </r>
    <r>
      <rPr>
        <b/>
        <vertAlign val="superscript"/>
        <sz val="12"/>
        <color theme="1"/>
        <rFont val="新細明體"/>
        <family val="1"/>
        <charset val="136"/>
        <scheme val="minor"/>
      </rPr>
      <t>beam</t>
    </r>
  </si>
  <si>
    <r>
      <t>V</t>
    </r>
    <r>
      <rPr>
        <b/>
        <vertAlign val="subscript"/>
        <sz val="12"/>
        <color theme="1"/>
        <rFont val="新細明體"/>
        <family val="1"/>
        <charset val="136"/>
        <scheme val="minor"/>
      </rPr>
      <t>ult</t>
    </r>
    <r>
      <rPr>
        <b/>
        <vertAlign val="superscript"/>
        <sz val="12"/>
        <color theme="1"/>
        <rFont val="新細明體"/>
        <family val="1"/>
        <charset val="136"/>
        <scheme val="minor"/>
      </rPr>
      <t>beam</t>
    </r>
  </si>
  <si>
    <r>
      <t>M</t>
    </r>
    <r>
      <rPr>
        <b/>
        <vertAlign val="subscript"/>
        <sz val="12"/>
        <color theme="1"/>
        <rFont val="新細明體"/>
        <family val="1"/>
        <charset val="136"/>
        <scheme val="minor"/>
      </rPr>
      <t>ult</t>
    </r>
    <r>
      <rPr>
        <b/>
        <vertAlign val="superscript"/>
        <sz val="12"/>
        <color theme="1"/>
        <rFont val="新細明體"/>
        <family val="1"/>
        <charset val="136"/>
        <scheme val="minor"/>
      </rPr>
      <t>beam</t>
    </r>
  </si>
  <si>
    <t>unit</t>
    <phoneticPr fontId="1" type="noConversion"/>
  </si>
  <si>
    <t>tf &amp; cm</t>
    <phoneticPr fontId="1" type="noConversion"/>
  </si>
  <si>
    <t>BEAM</t>
    <phoneticPr fontId="1" type="noConversion"/>
  </si>
  <si>
    <t>Section</t>
    <phoneticPr fontId="1" type="noConversion"/>
  </si>
  <si>
    <t>Pnc (tf)</t>
    <phoneticPr fontId="1" type="noConversion"/>
  </si>
  <si>
    <t>Pnt (tf)</t>
    <phoneticPr fontId="1" type="noConversion"/>
  </si>
  <si>
    <r>
      <t>φ</t>
    </r>
    <r>
      <rPr>
        <b/>
        <vertAlign val="subscript"/>
        <sz val="12"/>
        <color theme="1"/>
        <rFont val="新細明體"/>
        <family val="1"/>
        <charset val="136"/>
      </rPr>
      <t>t</t>
    </r>
    <phoneticPr fontId="1" type="noConversion"/>
  </si>
  <si>
    <t>DCR (Tension)</t>
    <phoneticPr fontId="1" type="noConversion"/>
  </si>
  <si>
    <t>DCR (Comp.)</t>
    <phoneticPr fontId="1" type="noConversion"/>
  </si>
  <si>
    <t>Put</t>
    <phoneticPr fontId="1" type="noConversion"/>
  </si>
  <si>
    <t>Puc</t>
    <phoneticPr fontId="1" type="noConversion"/>
  </si>
  <si>
    <t>TR (MAX) (m)</t>
    <phoneticPr fontId="1" type="noConversion"/>
  </si>
  <si>
    <t>質量單位</t>
    <phoneticPr fontId="1" type="noConversion"/>
  </si>
  <si>
    <t>重量單位</t>
    <phoneticPr fontId="1" type="noConversion"/>
  </si>
  <si>
    <t>typical story height(m)</t>
    <phoneticPr fontId="1" type="noConversion"/>
  </si>
  <si>
    <t>Structural period in two direction(sec)</t>
    <phoneticPr fontId="1" type="noConversion"/>
  </si>
  <si>
    <t>longitudinal</t>
    <phoneticPr fontId="1" type="noConversion"/>
  </si>
  <si>
    <r>
      <t>T=0.085h</t>
    </r>
    <r>
      <rPr>
        <vertAlign val="superscript"/>
        <sz val="12"/>
        <color theme="1"/>
        <rFont val="新細明體"/>
        <family val="1"/>
        <charset val="136"/>
        <scheme val="minor"/>
      </rPr>
      <t>0.75</t>
    </r>
    <phoneticPr fontId="1" type="noConversion"/>
  </si>
  <si>
    <t>transverse</t>
    <phoneticPr fontId="1" type="noConversion"/>
  </si>
  <si>
    <r>
      <t>T=0.070h</t>
    </r>
    <r>
      <rPr>
        <vertAlign val="superscript"/>
        <sz val="12"/>
        <color theme="1"/>
        <rFont val="新細明體"/>
        <family val="1"/>
        <charset val="136"/>
        <scheme val="minor"/>
      </rPr>
      <t>0.75</t>
    </r>
    <phoneticPr fontId="1" type="noConversion"/>
  </si>
  <si>
    <t>倍數1</t>
    <phoneticPr fontId="1" type="noConversion"/>
  </si>
  <si>
    <t>倍數1.4</t>
    <phoneticPr fontId="1" type="noConversion"/>
  </si>
  <si>
    <t>2F</t>
  </si>
  <si>
    <t>3F</t>
  </si>
  <si>
    <t>4F</t>
  </si>
  <si>
    <t>RF</t>
  </si>
  <si>
    <t>Fx in long(ton-m)</t>
  </si>
  <si>
    <t>sum(Fx long)</t>
  </si>
  <si>
    <t>Fx in tran(ton-m)</t>
  </si>
  <si>
    <t>sum(Fx tran)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</si>
</sst>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_);[Red]\(0.00\)"/>
    <numFmt numFmtId="177" formatCode="0.000_);[Red]\(0.000\)"/>
    <numFmt numFmtId="178" formatCode="0.0000_);[Red]\(0.0000\)"/>
    <numFmt numFmtId="179" formatCode="0.000"/>
    <numFmt numFmtId="180" formatCode="0.00_ "/>
    <numFmt numFmtId="181" formatCode="0.0000"/>
  </numFmts>
  <fonts count="3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1"/>
      <color theme="1"/>
      <name val="Arial"/>
      <family val="2"/>
    </font>
    <font>
      <sz val="11"/>
      <color theme="1"/>
      <name val="Times New Roman"/>
      <family val="1"/>
    </font>
    <font>
      <sz val="12"/>
      <color theme="1"/>
      <name val="Arial"/>
      <family val="2"/>
    </font>
    <font>
      <i/>
      <sz val="12"/>
      <color theme="1"/>
      <name val="Times New Roman"/>
      <family val="1"/>
    </font>
    <font>
      <i/>
      <sz val="7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Arial"/>
      <family val="2"/>
    </font>
    <font>
      <sz val="12"/>
      <color theme="1"/>
      <name val="Times New Roman"/>
      <family val="1"/>
    </font>
    <font>
      <sz val="11"/>
      <color theme="1"/>
      <name val="細明體"/>
      <family val="3"/>
      <charset val="136"/>
    </font>
    <font>
      <i/>
      <vertAlign val="superscript"/>
      <sz val="12"/>
      <color theme="1"/>
      <name val="Times New Roman"/>
      <family val="1"/>
    </font>
    <font>
      <i/>
      <vertAlign val="subscript"/>
      <sz val="12"/>
      <color theme="1"/>
      <name val="Times New Roman"/>
      <family val="1"/>
    </font>
    <font>
      <vertAlign val="superscript"/>
      <sz val="12"/>
      <color theme="1"/>
      <name val="新細明體"/>
      <family val="1"/>
      <charset val="136"/>
      <scheme val="minor"/>
    </font>
    <font>
      <vertAlign val="subscript"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2"/>
      <color rgb="FF222222"/>
      <name val="微軟正黑體"/>
      <family val="2"/>
      <charset val="136"/>
    </font>
    <font>
      <b/>
      <sz val="11"/>
      <color theme="1"/>
      <name val="Arial"/>
      <family val="2"/>
    </font>
    <font>
      <b/>
      <sz val="11"/>
      <color theme="1"/>
      <name val="細明體"/>
      <family val="3"/>
      <charset val="136"/>
    </font>
    <font>
      <b/>
      <i/>
      <sz val="11"/>
      <color theme="1"/>
      <name val="Times New Roman"/>
      <family val="1"/>
    </font>
    <font>
      <b/>
      <i/>
      <vertAlign val="subscript"/>
      <sz val="11"/>
      <color theme="1"/>
      <name val="Times New Roman"/>
      <family val="1"/>
    </font>
    <font>
      <b/>
      <vertAlign val="subscript"/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</font>
    <font>
      <b/>
      <vertAlign val="subscript"/>
      <sz val="12"/>
      <color theme="1"/>
      <name val="新細明體"/>
      <family val="1"/>
      <charset val="136"/>
    </font>
    <font>
      <b/>
      <vertAlign val="superscript"/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  <font>
      <sz val="11"/>
      <color rgb="FFFF0000"/>
      <name val="Arial"/>
      <family val="2"/>
    </font>
    <font>
      <sz val="12"/>
      <color rgb="FFFF0000"/>
      <name val="新細明體"/>
      <family val="1"/>
      <charset val="136"/>
      <scheme val="minor"/>
    </font>
    <font>
      <sz val="12"/>
      <color theme="3"/>
      <name val="新細明體"/>
      <family val="2"/>
      <charset val="136"/>
      <scheme val="minor"/>
    </font>
    <font>
      <b/>
      <sz val="12"/>
      <name val="新細明體"/>
      <family val="1"/>
      <charset val="136"/>
      <scheme val="minor"/>
    </font>
    <font>
      <sz val="12"/>
      <color theme="1"/>
      <name val="新細明體"/>
      <family val="2"/>
      <scheme val="minor"/>
    </font>
    <font>
      <b/>
      <vertAlign val="superscript"/>
      <sz val="12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5" fillId="0" borderId="0">
      <alignment vertical="center"/>
    </xf>
  </cellStyleXfs>
  <cellXfs count="16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28" xfId="0" applyFont="1" applyBorder="1" applyAlignment="1">
      <alignment horizontal="center" vertical="top" wrapText="1"/>
    </xf>
    <xf numFmtId="0" fontId="4" fillId="0" borderId="30" xfId="0" applyFont="1" applyBorder="1" applyAlignment="1">
      <alignment horizontal="center" vertical="top" wrapText="1"/>
    </xf>
    <xf numFmtId="0" fontId="6" fillId="0" borderId="32" xfId="0" applyFont="1" applyBorder="1" applyAlignment="1">
      <alignment horizontal="center" vertical="top" wrapText="1"/>
    </xf>
    <xf numFmtId="0" fontId="7" fillId="0" borderId="30" xfId="0" applyFont="1" applyBorder="1" applyAlignment="1">
      <alignment horizontal="center" vertical="top" wrapText="1"/>
    </xf>
    <xf numFmtId="0" fontId="8" fillId="0" borderId="30" xfId="0" applyFont="1" applyBorder="1" applyAlignment="1">
      <alignment horizontal="center" vertical="top" wrapText="1"/>
    </xf>
    <xf numFmtId="0" fontId="3" fillId="0" borderId="30" xfId="0" applyFont="1" applyBorder="1" applyAlignment="1">
      <alignment horizontal="center" vertical="top" wrapText="1"/>
    </xf>
    <xf numFmtId="0" fontId="3" fillId="0" borderId="28" xfId="0" applyFont="1" applyBorder="1" applyAlignment="1">
      <alignment horizontal="center" vertical="top" wrapText="1"/>
    </xf>
    <xf numFmtId="0" fontId="10" fillId="0" borderId="30" xfId="0" applyFont="1" applyBorder="1" applyAlignment="1">
      <alignment horizontal="center" vertical="top" wrapText="1"/>
    </xf>
    <xf numFmtId="0" fontId="3" fillId="0" borderId="34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9" fillId="0" borderId="28" xfId="0" applyFont="1" applyBorder="1" applyAlignment="1">
      <alignment horizontal="center" vertical="top" wrapText="1"/>
    </xf>
    <xf numFmtId="0" fontId="9" fillId="0" borderId="30" xfId="0" applyFont="1" applyBorder="1" applyAlignment="1">
      <alignment horizontal="center" vertical="top" wrapText="1"/>
    </xf>
    <xf numFmtId="0" fontId="4" fillId="0" borderId="31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4" fontId="3" fillId="0" borderId="30" xfId="0" applyNumberFormat="1" applyFont="1" applyBorder="1" applyAlignment="1">
      <alignment horizontal="center" vertical="top" wrapText="1"/>
    </xf>
    <xf numFmtId="14" fontId="3" fillId="0" borderId="28" xfId="0" applyNumberFormat="1" applyFont="1" applyBorder="1" applyAlignment="1">
      <alignment horizontal="center" vertical="top" wrapText="1"/>
    </xf>
    <xf numFmtId="0" fontId="9" fillId="0" borderId="3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top" wrapText="1"/>
    </xf>
    <xf numFmtId="0" fontId="11" fillId="0" borderId="28" xfId="0" applyFont="1" applyBorder="1" applyAlignment="1">
      <alignment horizontal="center" vertical="top" wrapText="1"/>
    </xf>
    <xf numFmtId="0" fontId="11" fillId="0" borderId="30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2" xfId="0" applyFont="1" applyBorder="1" applyAlignment="1">
      <alignment horizontal="center" vertical="top" wrapText="1"/>
    </xf>
    <xf numFmtId="0" fontId="18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77" fontId="0" fillId="0" borderId="0" xfId="0" applyNumberFormat="1">
      <alignment vertical="center"/>
    </xf>
    <xf numFmtId="177" fontId="0" fillId="0" borderId="1" xfId="0" applyNumberFormat="1" applyBorder="1">
      <alignment vertical="center"/>
    </xf>
    <xf numFmtId="0" fontId="2" fillId="8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77" fontId="2" fillId="5" borderId="1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76" fontId="17" fillId="0" borderId="1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9" borderId="36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2" fillId="4" borderId="1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2" fillId="3" borderId="1" xfId="0" applyFont="1" applyFill="1" applyBorder="1" applyAlignment="1">
      <alignment horizontal="center" vertical="center"/>
    </xf>
    <xf numFmtId="2" fontId="33" fillId="7" borderId="1" xfId="0" applyNumberFormat="1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3" fillId="0" borderId="31" xfId="0" applyFont="1" applyBorder="1" applyAlignment="1">
      <alignment horizontal="center" vertical="top" wrapText="1"/>
    </xf>
    <xf numFmtId="0" fontId="3" fillId="0" borderId="29" xfId="0" applyFont="1" applyBorder="1" applyAlignment="1">
      <alignment horizontal="center" vertical="top" wrapText="1"/>
    </xf>
    <xf numFmtId="0" fontId="3" fillId="0" borderId="31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top" wrapText="1"/>
    </xf>
    <xf numFmtId="0" fontId="5" fillId="0" borderId="29" xfId="0" applyFont="1" applyBorder="1" applyAlignment="1">
      <alignment horizontal="center" vertical="top" wrapText="1"/>
    </xf>
    <xf numFmtId="0" fontId="12" fillId="0" borderId="31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top" wrapText="1"/>
    </xf>
    <xf numFmtId="0" fontId="4" fillId="0" borderId="29" xfId="0" applyFont="1" applyBorder="1" applyAlignment="1">
      <alignment horizontal="center" vertical="top" wrapText="1"/>
    </xf>
    <xf numFmtId="0" fontId="2" fillId="10" borderId="15" xfId="0" applyFont="1" applyFill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12" borderId="18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2" fillId="12" borderId="23" xfId="0" applyFont="1" applyFill="1" applyBorder="1" applyAlignment="1">
      <alignment horizontal="center" vertical="center"/>
    </xf>
    <xf numFmtId="0" fontId="2" fillId="12" borderId="24" xfId="0" applyFont="1" applyFill="1" applyBorder="1" applyAlignment="1">
      <alignment horizontal="center" vertical="center"/>
    </xf>
    <xf numFmtId="0" fontId="2" fillId="12" borderId="25" xfId="0" applyFont="1" applyFill="1" applyBorder="1" applyAlignment="1">
      <alignment horizontal="center" vertical="center"/>
    </xf>
    <xf numFmtId="0" fontId="2" fillId="12" borderId="26" xfId="0" applyFont="1" applyFill="1" applyBorder="1" applyAlignment="1">
      <alignment horizontal="center" vertical="center"/>
    </xf>
    <xf numFmtId="0" fontId="2" fillId="12" borderId="27" xfId="0" applyFont="1" applyFill="1" applyBorder="1" applyAlignment="1">
      <alignment horizontal="center" vertical="center"/>
    </xf>
    <xf numFmtId="0" fontId="2" fillId="12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35" fillId="0" borderId="1" xfId="1" applyBorder="1" applyAlignment="1">
      <alignment horizontal="center" vertical="center"/>
    </xf>
    <xf numFmtId="0" fontId="35" fillId="0" borderId="1" xfId="1" applyBorder="1">
      <alignment vertical="center"/>
    </xf>
    <xf numFmtId="0" fontId="35" fillId="4" borderId="1" xfId="1" applyFill="1" applyBorder="1" applyAlignment="1">
      <alignment horizontal="center" vertical="center"/>
    </xf>
    <xf numFmtId="0" fontId="35" fillId="0" borderId="37" xfId="1" applyBorder="1" applyAlignment="1">
      <alignment horizontal="left" vertical="center"/>
    </xf>
    <xf numFmtId="0" fontId="35" fillId="0" borderId="12" xfId="1" applyBorder="1" applyAlignment="1">
      <alignment horizontal="left" vertical="center"/>
    </xf>
    <xf numFmtId="0" fontId="35" fillId="0" borderId="1" xfId="1" applyBorder="1" applyAlignment="1">
      <alignment horizontal="left" vertical="center"/>
    </xf>
    <xf numFmtId="181" fontId="35" fillId="0" borderId="1" xfId="1" applyNumberFormat="1" applyBorder="1" applyAlignment="1">
      <alignment horizontal="left" vertical="center"/>
    </xf>
    <xf numFmtId="0" fontId="35" fillId="0" borderId="1" xfId="1" applyBorder="1" applyAlignment="1">
      <alignment horizontal="left" vertical="center"/>
    </xf>
    <xf numFmtId="181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7" fillId="0" borderId="0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</cellXfs>
  <cellStyles count="2">
    <cellStyle name="一般" xfId="0" builtinId="0"/>
    <cellStyle name="一般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size of stee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opLeftCell="A10" workbookViewId="0">
      <selection activeCell="E9" sqref="E9"/>
    </sheetView>
  </sheetViews>
  <sheetFormatPr defaultRowHeight="16.5" x14ac:dyDescent="0.25"/>
  <cols>
    <col min="1" max="1" width="8" style="3" customWidth="1"/>
    <col min="2" max="2" width="35.25" style="1" customWidth="1"/>
    <col min="3" max="3" width="20.75" style="1" customWidth="1"/>
    <col min="4" max="4" width="12.75" style="1" customWidth="1"/>
    <col min="5" max="5" width="14.875" style="1" customWidth="1"/>
    <col min="8" max="8" width="9" style="1"/>
    <col min="9" max="9" width="12.125" style="1" customWidth="1"/>
    <col min="10" max="10" width="14.375" style="1" customWidth="1"/>
    <col min="11" max="11" width="12.375" style="1" customWidth="1"/>
    <col min="12" max="12" width="20" style="1" customWidth="1"/>
    <col min="13" max="13" width="13.125" style="1" customWidth="1"/>
    <col min="14" max="14" width="12.375" style="1" customWidth="1"/>
  </cols>
  <sheetData>
    <row r="1" spans="1:14" ht="20.25" thickBot="1" x14ac:dyDescent="0.3">
      <c r="A1" s="10"/>
      <c r="B1" s="136" t="s">
        <v>16</v>
      </c>
      <c r="C1" s="137" t="s">
        <v>762</v>
      </c>
      <c r="D1" s="137" t="s">
        <v>763</v>
      </c>
      <c r="E1" s="138" t="s">
        <v>12</v>
      </c>
      <c r="H1" s="96"/>
      <c r="I1" s="96"/>
      <c r="J1" s="96"/>
      <c r="K1" s="96"/>
      <c r="L1" s="96"/>
      <c r="M1" s="96"/>
      <c r="N1" s="96"/>
    </row>
    <row r="2" spans="1:14" x14ac:dyDescent="0.25">
      <c r="A2" s="131" t="s">
        <v>0</v>
      </c>
      <c r="B2" s="7" t="s">
        <v>1</v>
      </c>
      <c r="C2" s="5">
        <v>280</v>
      </c>
      <c r="D2" s="5">
        <f>36*30</f>
        <v>1080</v>
      </c>
      <c r="E2" s="6">
        <f>C2*D2</f>
        <v>302400</v>
      </c>
      <c r="H2" s="51"/>
      <c r="I2" s="51"/>
      <c r="J2" s="51"/>
      <c r="K2" s="51"/>
      <c r="L2" s="51"/>
      <c r="M2" s="51"/>
      <c r="N2" s="51"/>
    </row>
    <row r="3" spans="1:14" x14ac:dyDescent="0.25">
      <c r="A3" s="132"/>
      <c r="B3" s="8" t="s">
        <v>2</v>
      </c>
      <c r="C3" s="2">
        <v>150</v>
      </c>
      <c r="D3" s="2">
        <f t="shared" ref="D3:D4" si="0">36*30</f>
        <v>1080</v>
      </c>
      <c r="E3" s="4">
        <f t="shared" ref="E3:E6" si="1">C3*D3</f>
        <v>162000</v>
      </c>
      <c r="H3" s="51"/>
      <c r="I3" s="51"/>
      <c r="J3" s="51"/>
      <c r="K3" s="51"/>
      <c r="L3" s="51"/>
      <c r="M3" s="51"/>
      <c r="N3" s="51"/>
    </row>
    <row r="4" spans="1:14" x14ac:dyDescent="0.25">
      <c r="A4" s="132"/>
      <c r="B4" s="8" t="s">
        <v>3</v>
      </c>
      <c r="C4" s="2">
        <v>100</v>
      </c>
      <c r="D4" s="2">
        <f t="shared" si="0"/>
        <v>1080</v>
      </c>
      <c r="E4" s="4">
        <f t="shared" si="1"/>
        <v>108000</v>
      </c>
      <c r="H4" s="51"/>
      <c r="I4" s="51"/>
      <c r="J4" s="51"/>
      <c r="K4" s="51"/>
      <c r="L4" s="51"/>
      <c r="M4" s="51"/>
      <c r="N4" s="51"/>
    </row>
    <row r="5" spans="1:14" x14ac:dyDescent="0.25">
      <c r="A5" s="132"/>
      <c r="B5" s="8" t="s">
        <v>30</v>
      </c>
      <c r="C5" s="2">
        <v>100</v>
      </c>
      <c r="D5" s="2">
        <f>1.4*(36+30)*2</f>
        <v>184.79999999999998</v>
      </c>
      <c r="E5" s="4">
        <f t="shared" si="1"/>
        <v>18480</v>
      </c>
      <c r="H5" s="51"/>
      <c r="I5" s="51"/>
      <c r="J5" s="51"/>
      <c r="K5" s="51"/>
      <c r="L5" s="51"/>
      <c r="M5" s="51"/>
      <c r="N5" s="51"/>
    </row>
    <row r="6" spans="1:14" x14ac:dyDescent="0.25">
      <c r="A6" s="132"/>
      <c r="B6" s="8" t="s">
        <v>29</v>
      </c>
      <c r="C6" s="2">
        <v>100</v>
      </c>
      <c r="D6" s="2">
        <f>2*(36+30)*2</f>
        <v>264</v>
      </c>
      <c r="E6" s="4">
        <f t="shared" si="1"/>
        <v>26400</v>
      </c>
      <c r="G6" s="51"/>
      <c r="H6" s="51"/>
      <c r="I6" s="51"/>
      <c r="J6" s="51"/>
      <c r="K6" s="51"/>
      <c r="L6" s="51"/>
      <c r="M6" s="51"/>
      <c r="N6"/>
    </row>
    <row r="7" spans="1:14" x14ac:dyDescent="0.25">
      <c r="A7" s="132"/>
      <c r="B7" s="8"/>
      <c r="C7" s="2"/>
      <c r="D7" s="2"/>
      <c r="E7" s="4"/>
      <c r="H7" s="51"/>
      <c r="I7" s="51"/>
      <c r="J7" s="51"/>
      <c r="K7" s="51"/>
      <c r="L7" s="51"/>
      <c r="M7" s="51"/>
      <c r="N7" s="51"/>
    </row>
    <row r="8" spans="1:14" x14ac:dyDescent="0.25">
      <c r="A8" s="132"/>
      <c r="B8" s="8" t="s">
        <v>4</v>
      </c>
      <c r="C8" s="2" t="s">
        <v>7</v>
      </c>
      <c r="D8" s="2" t="s">
        <v>7</v>
      </c>
      <c r="E8" s="4">
        <v>64000</v>
      </c>
      <c r="H8" s="52"/>
      <c r="I8" s="52"/>
      <c r="J8" s="52"/>
      <c r="K8" s="52"/>
      <c r="L8" s="52"/>
      <c r="M8" s="52"/>
      <c r="N8" s="52"/>
    </row>
    <row r="9" spans="1:14" x14ac:dyDescent="0.25">
      <c r="A9" s="133"/>
      <c r="B9" s="8"/>
      <c r="C9" s="2"/>
      <c r="D9" s="11" t="s">
        <v>11</v>
      </c>
      <c r="E9" s="12">
        <f>SUM(E2:E8)</f>
        <v>681280</v>
      </c>
      <c r="H9" s="52"/>
      <c r="I9" s="52"/>
      <c r="J9" s="52"/>
      <c r="K9" s="52"/>
      <c r="L9" s="52"/>
      <c r="M9" s="52"/>
      <c r="N9" s="52"/>
    </row>
    <row r="10" spans="1:14" x14ac:dyDescent="0.25">
      <c r="A10" s="134" t="s">
        <v>8</v>
      </c>
      <c r="B10" s="8" t="s">
        <v>1</v>
      </c>
      <c r="C10" s="2">
        <v>280</v>
      </c>
      <c r="D10" s="2">
        <f>36*30</f>
        <v>1080</v>
      </c>
      <c r="E10" s="4">
        <f>C10*D10</f>
        <v>302400</v>
      </c>
      <c r="H10" s="52"/>
      <c r="I10" s="52"/>
      <c r="J10" s="52"/>
      <c r="K10" s="52"/>
      <c r="L10" s="52"/>
      <c r="M10" s="52"/>
      <c r="N10" s="52"/>
    </row>
    <row r="11" spans="1:14" x14ac:dyDescent="0.25">
      <c r="A11" s="132"/>
      <c r="B11" s="8" t="s">
        <v>2</v>
      </c>
      <c r="C11" s="2">
        <v>150</v>
      </c>
      <c r="D11" s="2">
        <f t="shared" ref="D11:D12" si="2">36*30</f>
        <v>1080</v>
      </c>
      <c r="E11" s="4">
        <f t="shared" ref="E11:E14" si="3">C11*D11</f>
        <v>162000</v>
      </c>
      <c r="H11" s="52"/>
      <c r="I11" s="52"/>
      <c r="J11" s="52"/>
      <c r="K11" s="52"/>
      <c r="L11" s="52"/>
      <c r="M11" s="52"/>
      <c r="N11" s="52"/>
    </row>
    <row r="12" spans="1:14" x14ac:dyDescent="0.25">
      <c r="A12" s="132"/>
      <c r="B12" s="8" t="s">
        <v>3</v>
      </c>
      <c r="C12" s="2">
        <v>100</v>
      </c>
      <c r="D12" s="2">
        <f t="shared" si="2"/>
        <v>1080</v>
      </c>
      <c r="E12" s="4">
        <f t="shared" si="3"/>
        <v>108000</v>
      </c>
      <c r="H12" s="52"/>
      <c r="I12" s="52"/>
      <c r="J12" s="52"/>
      <c r="K12" s="52"/>
      <c r="L12" s="52"/>
      <c r="M12" s="52"/>
      <c r="N12" s="52"/>
    </row>
    <row r="13" spans="1:14" x14ac:dyDescent="0.25">
      <c r="A13" s="132"/>
      <c r="B13" s="8" t="s">
        <v>6</v>
      </c>
      <c r="C13" s="2">
        <v>100</v>
      </c>
      <c r="D13" s="2">
        <f>4*(36+30)*2</f>
        <v>528</v>
      </c>
      <c r="E13" s="4">
        <f t="shared" si="3"/>
        <v>52800</v>
      </c>
      <c r="H13" s="96"/>
      <c r="I13" s="96"/>
      <c r="J13" s="96"/>
      <c r="K13" s="96"/>
      <c r="L13" s="96"/>
      <c r="M13" s="96"/>
      <c r="N13" s="96"/>
    </row>
    <row r="14" spans="1:14" x14ac:dyDescent="0.25">
      <c r="A14" s="132"/>
      <c r="B14" s="8" t="s">
        <v>5</v>
      </c>
      <c r="C14" s="2">
        <v>100</v>
      </c>
      <c r="D14" s="2">
        <f>36*30</f>
        <v>1080</v>
      </c>
      <c r="E14" s="4">
        <f t="shared" si="3"/>
        <v>108000</v>
      </c>
      <c r="H14" s="52"/>
      <c r="I14" s="52"/>
      <c r="J14" s="52"/>
      <c r="K14" s="52"/>
      <c r="L14" s="52"/>
      <c r="M14" s="52"/>
      <c r="N14" s="52"/>
    </row>
    <row r="15" spans="1:14" x14ac:dyDescent="0.25">
      <c r="A15" s="133"/>
      <c r="B15" s="8"/>
      <c r="C15" s="2"/>
      <c r="D15" s="11" t="s">
        <v>11</v>
      </c>
      <c r="E15" s="12">
        <f>SUM(E10:E14)</f>
        <v>733200</v>
      </c>
      <c r="H15" s="52"/>
      <c r="I15" s="52"/>
      <c r="J15" s="52"/>
      <c r="K15" s="52"/>
      <c r="L15" s="52"/>
      <c r="M15" s="52"/>
      <c r="N15" s="52"/>
    </row>
    <row r="16" spans="1:14" x14ac:dyDescent="0.25">
      <c r="A16" s="134" t="s">
        <v>9</v>
      </c>
      <c r="B16" s="8" t="s">
        <v>1</v>
      </c>
      <c r="C16" s="2">
        <v>280</v>
      </c>
      <c r="D16" s="2">
        <f>36*30</f>
        <v>1080</v>
      </c>
      <c r="E16" s="4">
        <f>C16*D16</f>
        <v>302400</v>
      </c>
      <c r="H16" s="52"/>
      <c r="I16" s="52"/>
      <c r="J16" s="52"/>
      <c r="K16" s="52"/>
      <c r="L16" s="52"/>
      <c r="M16" s="52"/>
      <c r="N16" s="52"/>
    </row>
    <row r="17" spans="1:14" x14ac:dyDescent="0.25">
      <c r="A17" s="132"/>
      <c r="B17" s="8" t="s">
        <v>2</v>
      </c>
      <c r="C17" s="2">
        <v>150</v>
      </c>
      <c r="D17" s="2">
        <f t="shared" ref="D17:D18" si="4">36*30</f>
        <v>1080</v>
      </c>
      <c r="E17" s="4">
        <f t="shared" ref="E17:E20" si="5">C17*D17</f>
        <v>162000</v>
      </c>
      <c r="H17" s="52"/>
      <c r="I17" s="52"/>
      <c r="J17" s="52"/>
      <c r="K17" s="52"/>
      <c r="L17" s="52"/>
      <c r="M17" s="52"/>
      <c r="N17" s="52"/>
    </row>
    <row r="18" spans="1:14" x14ac:dyDescent="0.25">
      <c r="A18" s="132"/>
      <c r="B18" s="8" t="s">
        <v>3</v>
      </c>
      <c r="C18" s="2">
        <v>100</v>
      </c>
      <c r="D18" s="2">
        <f t="shared" si="4"/>
        <v>1080</v>
      </c>
      <c r="E18" s="4">
        <f t="shared" si="5"/>
        <v>108000</v>
      </c>
      <c r="H18" s="52"/>
      <c r="I18" s="52"/>
      <c r="J18" s="52"/>
      <c r="K18" s="52"/>
      <c r="L18" s="52"/>
      <c r="M18" s="52"/>
      <c r="N18" s="52"/>
    </row>
    <row r="19" spans="1:14" x14ac:dyDescent="0.25">
      <c r="A19" s="132"/>
      <c r="B19" s="8" t="s">
        <v>6</v>
      </c>
      <c r="C19" s="2">
        <v>100</v>
      </c>
      <c r="D19" s="2">
        <f>4*(36+30)*2</f>
        <v>528</v>
      </c>
      <c r="E19" s="4">
        <f t="shared" si="5"/>
        <v>52800</v>
      </c>
      <c r="H19" s="52"/>
      <c r="I19" s="52"/>
      <c r="J19" s="52"/>
      <c r="K19" s="52"/>
      <c r="L19" s="52"/>
      <c r="M19" s="52"/>
      <c r="N19" s="52"/>
    </row>
    <row r="20" spans="1:14" x14ac:dyDescent="0.25">
      <c r="A20" s="132"/>
      <c r="B20" s="8" t="s">
        <v>31</v>
      </c>
      <c r="C20" s="2">
        <v>100</v>
      </c>
      <c r="D20" s="2">
        <f>36*30</f>
        <v>1080</v>
      </c>
      <c r="E20" s="4">
        <f t="shared" si="5"/>
        <v>108000</v>
      </c>
      <c r="H20" s="51"/>
      <c r="I20" s="51"/>
      <c r="J20" s="51"/>
      <c r="K20" s="51"/>
      <c r="L20" s="51"/>
      <c r="M20" s="51"/>
      <c r="N20" s="51"/>
    </row>
    <row r="21" spans="1:14" x14ac:dyDescent="0.25">
      <c r="A21" s="133"/>
      <c r="B21" s="8"/>
      <c r="C21" s="2"/>
      <c r="D21" s="11" t="s">
        <v>11</v>
      </c>
      <c r="E21" s="12">
        <f>SUM(E16:E20)</f>
        <v>733200</v>
      </c>
    </row>
    <row r="22" spans="1:14" x14ac:dyDescent="0.25">
      <c r="A22" s="134" t="s">
        <v>10</v>
      </c>
      <c r="B22" s="8" t="s">
        <v>1</v>
      </c>
      <c r="C22" s="2">
        <v>280</v>
      </c>
      <c r="D22" s="2">
        <f>36*30</f>
        <v>1080</v>
      </c>
      <c r="E22" s="4">
        <f>C22*D22</f>
        <v>302400</v>
      </c>
    </row>
    <row r="23" spans="1:14" x14ac:dyDescent="0.25">
      <c r="A23" s="132"/>
      <c r="B23" s="8" t="s">
        <v>2</v>
      </c>
      <c r="C23" s="2">
        <v>150</v>
      </c>
      <c r="D23" s="2">
        <f t="shared" ref="D23:D24" si="6">36*30</f>
        <v>1080</v>
      </c>
      <c r="E23" s="4">
        <f t="shared" ref="E23:E26" si="7">C23*D23</f>
        <v>162000</v>
      </c>
    </row>
    <row r="24" spans="1:14" x14ac:dyDescent="0.25">
      <c r="A24" s="132"/>
      <c r="B24" s="8" t="s">
        <v>3</v>
      </c>
      <c r="C24" s="2">
        <v>100</v>
      </c>
      <c r="D24" s="2">
        <f t="shared" si="6"/>
        <v>1080</v>
      </c>
      <c r="E24" s="4">
        <f t="shared" si="7"/>
        <v>108000</v>
      </c>
    </row>
    <row r="25" spans="1:14" x14ac:dyDescent="0.25">
      <c r="A25" s="132"/>
      <c r="B25" s="8" t="s">
        <v>6</v>
      </c>
      <c r="C25" s="2">
        <v>100</v>
      </c>
      <c r="D25" s="2">
        <f>4*(36+30)*2</f>
        <v>528</v>
      </c>
      <c r="E25" s="4">
        <f t="shared" si="7"/>
        <v>52800</v>
      </c>
    </row>
    <row r="26" spans="1:14" x14ac:dyDescent="0.25">
      <c r="A26" s="132"/>
      <c r="B26" s="8" t="s">
        <v>5</v>
      </c>
      <c r="C26" s="2">
        <v>100</v>
      </c>
      <c r="D26" s="2">
        <f>36*30</f>
        <v>1080</v>
      </c>
      <c r="E26" s="4">
        <f t="shared" si="7"/>
        <v>108000</v>
      </c>
    </row>
    <row r="27" spans="1:14" x14ac:dyDescent="0.25">
      <c r="A27" s="133"/>
      <c r="B27" s="9"/>
      <c r="C27" s="2"/>
      <c r="D27" s="11" t="s">
        <v>11</v>
      </c>
      <c r="E27" s="12">
        <f>SUM(E22:E26)</f>
        <v>733200</v>
      </c>
    </row>
    <row r="28" spans="1:14" ht="17.25" thickBot="1" x14ac:dyDescent="0.3">
      <c r="A28" s="139" t="s">
        <v>13</v>
      </c>
      <c r="B28" s="140"/>
      <c r="C28" s="141" t="s">
        <v>14</v>
      </c>
      <c r="D28" s="141" t="s">
        <v>15</v>
      </c>
      <c r="E28" s="142">
        <f>E9+E15+E21+E27</f>
        <v>2880880</v>
      </c>
    </row>
    <row r="29" spans="1:14" ht="17.25" thickBot="1" x14ac:dyDescent="0.3"/>
    <row r="30" spans="1:14" ht="16.5" customHeight="1" x14ac:dyDescent="0.25">
      <c r="A30" s="143" t="s">
        <v>20</v>
      </c>
      <c r="B30" s="144"/>
      <c r="C30" s="145"/>
      <c r="D30" s="101" t="s">
        <v>19</v>
      </c>
      <c r="E30" s="104">
        <v>16</v>
      </c>
    </row>
    <row r="31" spans="1:14" x14ac:dyDescent="0.25">
      <c r="A31" s="146"/>
      <c r="B31" s="147"/>
      <c r="C31" s="148"/>
      <c r="D31" s="102"/>
      <c r="E31" s="105"/>
    </row>
    <row r="32" spans="1:14" x14ac:dyDescent="0.25">
      <c r="A32" s="97" t="s">
        <v>17</v>
      </c>
      <c r="B32" s="98"/>
      <c r="C32" s="2">
        <f>0.085*E30^0.75</f>
        <v>0.67999999999999994</v>
      </c>
      <c r="D32" s="102"/>
      <c r="E32" s="105"/>
    </row>
    <row r="33" spans="1:5" ht="17.25" thickBot="1" x14ac:dyDescent="0.3">
      <c r="A33" s="99" t="s">
        <v>18</v>
      </c>
      <c r="B33" s="100"/>
      <c r="C33" s="13">
        <f>0.07*E30^0.75</f>
        <v>0.55999999999999994</v>
      </c>
      <c r="D33" s="103"/>
      <c r="E33" s="106"/>
    </row>
  </sheetData>
  <mergeCells count="12">
    <mergeCell ref="H1:N1"/>
    <mergeCell ref="H13:N13"/>
    <mergeCell ref="A32:B32"/>
    <mergeCell ref="A33:B33"/>
    <mergeCell ref="A30:C31"/>
    <mergeCell ref="D30:D33"/>
    <mergeCell ref="E30:E33"/>
    <mergeCell ref="A2:A9"/>
    <mergeCell ref="A10:A15"/>
    <mergeCell ref="A16:A21"/>
    <mergeCell ref="A22:A27"/>
    <mergeCell ref="A28:B2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I12" sqref="I12"/>
    </sheetView>
  </sheetViews>
  <sheetFormatPr defaultRowHeight="16.5" x14ac:dyDescent="0.25"/>
  <cols>
    <col min="1" max="1" width="14.75" customWidth="1"/>
  </cols>
  <sheetData>
    <row r="1" spans="1:7" x14ac:dyDescent="0.25">
      <c r="A1" s="151" t="s">
        <v>785</v>
      </c>
      <c r="B1" s="151"/>
      <c r="C1" s="152">
        <v>4</v>
      </c>
    </row>
    <row r="4" spans="1:7" x14ac:dyDescent="0.25">
      <c r="A4" s="153" t="s">
        <v>786</v>
      </c>
      <c r="B4" s="153"/>
      <c r="C4" s="153"/>
      <c r="D4" s="153"/>
      <c r="F4" t="s">
        <v>791</v>
      </c>
      <c r="G4" t="s">
        <v>792</v>
      </c>
    </row>
    <row r="5" spans="1:7" ht="19.5" x14ac:dyDescent="0.25">
      <c r="A5" s="154" t="s">
        <v>787</v>
      </c>
      <c r="B5" s="155"/>
      <c r="C5" s="156" t="s">
        <v>788</v>
      </c>
      <c r="D5" s="157">
        <f>0.085*(C1*4)^0.75</f>
        <v>0.67999999999999994</v>
      </c>
      <c r="F5" s="159">
        <f>D5</f>
        <v>0.67999999999999994</v>
      </c>
      <c r="G5">
        <f>1.4*D5</f>
        <v>0.95199999999999985</v>
      </c>
    </row>
    <row r="6" spans="1:7" ht="19.5" x14ac:dyDescent="0.25">
      <c r="A6" s="158" t="s">
        <v>789</v>
      </c>
      <c r="B6" s="158"/>
      <c r="C6" s="156" t="s">
        <v>790</v>
      </c>
      <c r="D6" s="157">
        <f>0.07*(C1*4)^0.75</f>
        <v>0.55999999999999994</v>
      </c>
      <c r="F6" s="159">
        <f>D6</f>
        <v>0.55999999999999994</v>
      </c>
      <c r="G6">
        <f>1.4*D6</f>
        <v>0.78399999999999992</v>
      </c>
    </row>
    <row r="12" spans="1:7" x14ac:dyDescent="0.25">
      <c r="B12" t="s">
        <v>793</v>
      </c>
      <c r="C12" t="s">
        <v>794</v>
      </c>
      <c r="D12" t="s">
        <v>795</v>
      </c>
      <c r="E12" t="s">
        <v>796</v>
      </c>
    </row>
    <row r="13" spans="1:7" x14ac:dyDescent="0.25">
      <c r="A13" t="s">
        <v>797</v>
      </c>
      <c r="B13" s="160">
        <v>58.394040979856804</v>
      </c>
      <c r="C13" s="160">
        <v>116.78808195971361</v>
      </c>
      <c r="D13" s="160">
        <v>175.18212293957038</v>
      </c>
      <c r="E13" s="160">
        <v>217.03596420489271</v>
      </c>
    </row>
    <row r="14" spans="1:7" x14ac:dyDescent="0.25">
      <c r="A14" t="s">
        <v>798</v>
      </c>
      <c r="B14" s="160">
        <v>567.40021008403346</v>
      </c>
      <c r="C14" s="160"/>
      <c r="D14" s="160"/>
      <c r="E14" s="160"/>
    </row>
    <row r="15" spans="1:7" x14ac:dyDescent="0.25">
      <c r="B15" s="160"/>
      <c r="C15" s="160"/>
      <c r="D15" s="160"/>
      <c r="E15" s="160"/>
    </row>
    <row r="16" spans="1:7" x14ac:dyDescent="0.25">
      <c r="B16" t="s">
        <v>793</v>
      </c>
      <c r="C16" t="s">
        <v>794</v>
      </c>
      <c r="D16" t="s">
        <v>795</v>
      </c>
      <c r="E16" t="s">
        <v>796</v>
      </c>
    </row>
    <row r="17" spans="1:5" x14ac:dyDescent="0.25">
      <c r="A17" t="s">
        <v>799</v>
      </c>
      <c r="B17" s="160">
        <v>70.591907317871332</v>
      </c>
      <c r="C17" s="160">
        <v>141.18381463574266</v>
      </c>
      <c r="D17" s="160">
        <v>211.77572195361395</v>
      </c>
      <c r="E17" s="160">
        <v>262.37236561658142</v>
      </c>
    </row>
    <row r="18" spans="1:5" x14ac:dyDescent="0.25">
      <c r="A18" t="s">
        <v>800</v>
      </c>
      <c r="B18" s="160">
        <v>685.92380952380938</v>
      </c>
      <c r="C18" s="160"/>
      <c r="D18" s="160"/>
      <c r="E18" s="160"/>
    </row>
  </sheetData>
  <mergeCells count="3">
    <mergeCell ref="A1:B1"/>
    <mergeCell ref="A4:D4"/>
    <mergeCell ref="A6:B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7" sqref="E7"/>
    </sheetView>
  </sheetViews>
  <sheetFormatPr defaultRowHeight="16.5" x14ac:dyDescent="0.25"/>
  <cols>
    <col min="1" max="1" width="12.5" style="1" customWidth="1"/>
    <col min="2" max="2" width="12.75" style="1" customWidth="1"/>
    <col min="3" max="3" width="12.25" style="1" customWidth="1"/>
    <col min="4" max="4" width="12.5" style="1" customWidth="1"/>
    <col min="5" max="5" width="14" style="1" bestFit="1" customWidth="1"/>
    <col min="6" max="16384" width="9" style="1"/>
  </cols>
  <sheetData>
    <row r="1" spans="1:5" x14ac:dyDescent="0.25">
      <c r="A1" s="149" t="s">
        <v>585</v>
      </c>
      <c r="B1" s="149"/>
    </row>
    <row r="2" spans="1:5" x14ac:dyDescent="0.25">
      <c r="A2" s="2" t="s">
        <v>587</v>
      </c>
      <c r="B2" s="2">
        <v>36</v>
      </c>
    </row>
    <row r="3" spans="1:5" x14ac:dyDescent="0.25">
      <c r="A3" s="2" t="s">
        <v>588</v>
      </c>
      <c r="B3" s="2">
        <v>30</v>
      </c>
    </row>
    <row r="4" spans="1:5" x14ac:dyDescent="0.25">
      <c r="A4" s="2" t="s">
        <v>589</v>
      </c>
      <c r="B4" s="2">
        <v>0.15</v>
      </c>
    </row>
    <row r="5" spans="1:5" x14ac:dyDescent="0.25">
      <c r="A5" s="135" t="s">
        <v>784</v>
      </c>
    </row>
    <row r="6" spans="1:5" x14ac:dyDescent="0.25">
      <c r="A6" s="150" t="s">
        <v>581</v>
      </c>
      <c r="B6" s="150" t="s">
        <v>586</v>
      </c>
      <c r="C6" s="150" t="s">
        <v>582</v>
      </c>
      <c r="D6" s="150" t="s">
        <v>583</v>
      </c>
      <c r="E6" s="150" t="s">
        <v>584</v>
      </c>
    </row>
    <row r="7" spans="1:5" x14ac:dyDescent="0.25">
      <c r="A7" s="2" t="s">
        <v>709</v>
      </c>
      <c r="B7" s="2">
        <f>靜載重計算!E9</f>
        <v>681280</v>
      </c>
      <c r="C7" s="43">
        <f>($B$3^2+$B$4^2)*B7/12</f>
        <v>51097277.400000006</v>
      </c>
      <c r="D7" s="43">
        <f>($B$2^2+$B$4^2)*B7/12</f>
        <v>73579517.400000006</v>
      </c>
      <c r="E7" s="43">
        <f>($B$2^2+$B$3^2)*B7/12</f>
        <v>124674240</v>
      </c>
    </row>
    <row r="8" spans="1:5" x14ac:dyDescent="0.25">
      <c r="A8" s="2" t="s">
        <v>8</v>
      </c>
      <c r="B8" s="2">
        <f>靜載重計算!E15</f>
        <v>733200</v>
      </c>
      <c r="C8" s="43">
        <f t="shared" ref="C8:C10" si="0">($B$3^2+$B$4^2)*B8/12</f>
        <v>54991374.75</v>
      </c>
      <c r="D8" s="43">
        <f t="shared" ref="D8:D10" si="1">($B$2^2+$B$4^2)*B8/12</f>
        <v>79186974.75</v>
      </c>
      <c r="E8" s="43">
        <f t="shared" ref="E8:E10" si="2">($B$2^2+$B$3^2)*B8/12</f>
        <v>134175600</v>
      </c>
    </row>
    <row r="9" spans="1:5" x14ac:dyDescent="0.25">
      <c r="A9" s="2" t="s">
        <v>9</v>
      </c>
      <c r="B9" s="2">
        <f>靜載重計算!E21</f>
        <v>733200</v>
      </c>
      <c r="C9" s="43">
        <f t="shared" si="0"/>
        <v>54991374.75</v>
      </c>
      <c r="D9" s="43">
        <f t="shared" si="1"/>
        <v>79186974.75</v>
      </c>
      <c r="E9" s="43">
        <f t="shared" si="2"/>
        <v>134175600</v>
      </c>
    </row>
    <row r="10" spans="1:5" x14ac:dyDescent="0.25">
      <c r="A10" s="2" t="s">
        <v>10</v>
      </c>
      <c r="B10" s="2">
        <f>靜載重計算!E27</f>
        <v>733200</v>
      </c>
      <c r="C10" s="43">
        <f t="shared" si="0"/>
        <v>54991374.75</v>
      </c>
      <c r="D10" s="43">
        <f t="shared" si="1"/>
        <v>79186974.75</v>
      </c>
      <c r="E10" s="43">
        <f t="shared" si="2"/>
        <v>134175600</v>
      </c>
    </row>
    <row r="11" spans="1:5" x14ac:dyDescent="0.25">
      <c r="A11" s="135" t="s">
        <v>783</v>
      </c>
    </row>
    <row r="12" spans="1:5" x14ac:dyDescent="0.25">
      <c r="A12" s="150" t="s">
        <v>581</v>
      </c>
      <c r="B12" s="150" t="s">
        <v>586</v>
      </c>
      <c r="C12" s="150" t="s">
        <v>582</v>
      </c>
      <c r="D12" s="150" t="s">
        <v>583</v>
      </c>
      <c r="E12" s="150" t="s">
        <v>584</v>
      </c>
    </row>
    <row r="13" spans="1:5" x14ac:dyDescent="0.25">
      <c r="A13" s="2" t="s">
        <v>709</v>
      </c>
      <c r="B13" s="2">
        <f>靜載重計算!E9/9.81</f>
        <v>69447.502548419972</v>
      </c>
      <c r="C13" s="43">
        <f>($B$3^2+$B$4^2)*B13/12</f>
        <v>5208692.9051987762</v>
      </c>
      <c r="D13" s="43">
        <f>($B$2^2+$B$4^2)*B13/12</f>
        <v>7500460.4892966347</v>
      </c>
      <c r="E13" s="43">
        <f>($B$2^2+$B$3^2)*B13/12</f>
        <v>12708892.966360854</v>
      </c>
    </row>
    <row r="14" spans="1:5" x14ac:dyDescent="0.25">
      <c r="A14" s="2" t="s">
        <v>8</v>
      </c>
      <c r="B14" s="2">
        <f>靜載重計算!E15/9.81</f>
        <v>74740.06116207951</v>
      </c>
      <c r="C14" s="43">
        <f t="shared" ref="C14:C16" si="3">($B$3^2+$B$4^2)*B14/12</f>
        <v>5605644.7247706428</v>
      </c>
      <c r="D14" s="43">
        <f t="shared" ref="D14:D16" si="4">($B$2^2+$B$4^2)*B14/12</f>
        <v>8072066.7431192659</v>
      </c>
      <c r="E14" s="43">
        <f t="shared" ref="E14:E16" si="5">($B$2^2+$B$3^2)*B14/12</f>
        <v>13677431.19266055</v>
      </c>
    </row>
    <row r="15" spans="1:5" x14ac:dyDescent="0.25">
      <c r="A15" s="2" t="s">
        <v>9</v>
      </c>
      <c r="B15" s="2">
        <f>靜載重計算!E21/9.81</f>
        <v>74740.06116207951</v>
      </c>
      <c r="C15" s="43">
        <f t="shared" si="3"/>
        <v>5605644.7247706428</v>
      </c>
      <c r="D15" s="43">
        <f t="shared" si="4"/>
        <v>8072066.7431192659</v>
      </c>
      <c r="E15" s="43">
        <f t="shared" si="5"/>
        <v>13677431.19266055</v>
      </c>
    </row>
    <row r="16" spans="1:5" x14ac:dyDescent="0.25">
      <c r="A16" s="2" t="s">
        <v>10</v>
      </c>
      <c r="B16" s="2">
        <f>靜載重計算!E27/9.81</f>
        <v>74740.06116207951</v>
      </c>
      <c r="C16" s="43">
        <f t="shared" si="3"/>
        <v>5605644.7247706428</v>
      </c>
      <c r="D16" s="43">
        <f t="shared" si="4"/>
        <v>8072066.7431192659</v>
      </c>
      <c r="E16" s="43">
        <f t="shared" si="5"/>
        <v>13677431.19266055</v>
      </c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>
      <selection activeCell="A3" sqref="A3"/>
    </sheetView>
  </sheetViews>
  <sheetFormatPr defaultRowHeight="16.5" x14ac:dyDescent="0.25"/>
  <cols>
    <col min="1" max="1" width="30" style="1" customWidth="1"/>
    <col min="2" max="2" width="29.625" style="1" customWidth="1"/>
    <col min="3" max="3" width="24.75" style="1" customWidth="1"/>
    <col min="4" max="4" width="22.625" style="1" customWidth="1"/>
    <col min="5" max="5" width="22.875" style="1" customWidth="1"/>
    <col min="6" max="6" width="13.25" style="1" customWidth="1"/>
    <col min="7" max="7" width="16" style="1" customWidth="1"/>
    <col min="8" max="16384" width="9" style="1"/>
  </cols>
  <sheetData>
    <row r="1" spans="1:4" x14ac:dyDescent="0.25">
      <c r="A1" s="40" t="s">
        <v>414</v>
      </c>
      <c r="B1" s="2" t="s">
        <v>38</v>
      </c>
      <c r="C1" s="82">
        <v>16</v>
      </c>
    </row>
    <row r="2" spans="1:4" x14ac:dyDescent="0.25">
      <c r="A2" s="2" t="s">
        <v>39</v>
      </c>
      <c r="B2" s="2" t="s">
        <v>41</v>
      </c>
      <c r="C2" s="2" t="s">
        <v>408</v>
      </c>
    </row>
    <row r="3" spans="1:4" x14ac:dyDescent="0.25">
      <c r="A3" s="80" t="s">
        <v>32</v>
      </c>
      <c r="B3" s="2">
        <f>VLOOKUP(A3,資料!A2:'資料'!C5,2,0)</f>
        <v>0.67999999999999994</v>
      </c>
      <c r="C3" s="2">
        <f>VLOOKUP(A3,資料!A2:'資料'!C5,3,0)</f>
        <v>4.8</v>
      </c>
      <c r="D3" s="2" t="s">
        <v>425</v>
      </c>
    </row>
    <row r="4" spans="1:4" x14ac:dyDescent="0.25">
      <c r="A4" s="80" t="s">
        <v>36</v>
      </c>
      <c r="B4" s="2">
        <f>VLOOKUP(A4,資料!A3:'資料'!C6,2,0)</f>
        <v>0.55999999999999994</v>
      </c>
      <c r="C4" s="2">
        <f>VLOOKUP(A4,資料!A3:'資料'!C6,3,0)</f>
        <v>4.8</v>
      </c>
      <c r="D4" s="2" t="s">
        <v>426</v>
      </c>
    </row>
    <row r="5" spans="1:4" x14ac:dyDescent="0.25">
      <c r="A5" s="107" t="s">
        <v>412</v>
      </c>
      <c r="B5" s="107"/>
      <c r="C5" s="107"/>
      <c r="D5" s="107"/>
    </row>
    <row r="6" spans="1:4" x14ac:dyDescent="0.25">
      <c r="A6" s="2" t="s">
        <v>387</v>
      </c>
      <c r="B6" s="80" t="s">
        <v>355</v>
      </c>
      <c r="C6" s="2" t="s">
        <v>391</v>
      </c>
      <c r="D6" s="80" t="s">
        <v>356</v>
      </c>
    </row>
    <row r="7" spans="1:4" ht="20.25" x14ac:dyDescent="0.25">
      <c r="A7" s="34" t="s">
        <v>397</v>
      </c>
      <c r="B7" s="34" t="s">
        <v>398</v>
      </c>
      <c r="C7" s="34" t="s">
        <v>399</v>
      </c>
      <c r="D7" s="34" t="s">
        <v>400</v>
      </c>
    </row>
    <row r="8" spans="1:4" x14ac:dyDescent="0.25">
      <c r="A8" s="43">
        <f>VLOOKUP(D6,資料!F3:'資料'!J322,2,0)</f>
        <v>0.8</v>
      </c>
      <c r="B8" s="2">
        <f>VLOOKUP(D6,資料!F3:'資料'!J322,3,0)</f>
        <v>0.45</v>
      </c>
      <c r="C8" s="43">
        <f>VLOOKUP(D6,資料!F3:'資料'!J322,4,0)</f>
        <v>1</v>
      </c>
      <c r="D8" s="2">
        <f>VLOOKUP(D6,資料!F3:'資料'!J322,5,0)</f>
        <v>0.55000000000000004</v>
      </c>
    </row>
    <row r="10" spans="1:4" x14ac:dyDescent="0.25">
      <c r="A10" s="111" t="s">
        <v>415</v>
      </c>
      <c r="B10" s="111"/>
      <c r="C10" s="94" t="s">
        <v>392</v>
      </c>
      <c r="D10" s="93" t="s">
        <v>393</v>
      </c>
    </row>
    <row r="11" spans="1:4" ht="19.5" x14ac:dyDescent="0.25">
      <c r="A11" s="2" t="s">
        <v>401</v>
      </c>
      <c r="B11" s="2">
        <f>IF(A8&lt;=0.5,VLOOKUP(D10,資料!O35:'資料'!T37,2,0),IF(A8=0.6,VLOOKUP(D10,資料!O35:'資料'!T37,3,0),IF(A8=0.7,VLOOKUP(D10,資料!O35:'資料'!T37,4,0),IF(A8=0.8,VLOOKUP(D10,資料!O35:'資料'!T37,5,0),IF(A8&gt;=0.9,VLOOKUP(D10,資料!O35:'資料'!T37,6,0))))
))</f>
        <v>1</v>
      </c>
    </row>
    <row r="12" spans="1:4" ht="19.5" x14ac:dyDescent="0.25">
      <c r="A12" s="2" t="s">
        <v>402</v>
      </c>
      <c r="B12" s="2">
        <f>IF(C8&lt;=0.5,VLOOKUP(D10,資料!O35:'資料'!T37,2,0),IF(C8=0.6,VLOOKUP(D10,資料!O35:'資料'!T37,3,0),IF(C8=0.7,VLOOKUP(D10,資料!O35:'資料'!T37,4,0),IF(C8=0.8,VLOOKUP(D10,資料!O35:'資料'!T37,5,0),IF(C8&gt;=0.9,VLOOKUP(D10,資料!O35:'資料'!T37,6,0))))
))</f>
        <v>1</v>
      </c>
    </row>
    <row r="13" spans="1:4" x14ac:dyDescent="0.25">
      <c r="A13" s="111" t="s">
        <v>416</v>
      </c>
      <c r="B13" s="111"/>
    </row>
    <row r="14" spans="1:4" ht="19.5" x14ac:dyDescent="0.25">
      <c r="A14" s="2" t="s">
        <v>403</v>
      </c>
      <c r="B14" s="2">
        <f>IF(B8&lt;=0.3,VLOOKUP(D10,資料!O40:'資料'!T42,2,0),IF(B8=0.35,VLOOKUP(D10,資料!O40:'資料'!T42,3,0),IF(B8=0.4,VLOOKUP(D10,資料!O40:'資料'!T42,4,0),IF(B8=0.45,VLOOKUP(D10,資料!O40:'資料'!T42,5,0),IF(B8&gt;=0.5,VLOOKUP(D10,資料!O40:'資料'!T42,6,0))))
))</f>
        <v>1</v>
      </c>
    </row>
    <row r="15" spans="1:4" ht="19.5" x14ac:dyDescent="0.25">
      <c r="A15" s="2" t="s">
        <v>404</v>
      </c>
      <c r="B15" s="2">
        <f>IF(D8&lt;=0.3,VLOOKUP(D10,資料!O40:'資料'!T42,2,0),IF(D8=0.35,VLOOKUP(D10,資料!O40:'資料'!T42,3,0),IF(D8=0.4,VLOOKUP(D10,資料!O40:'資料'!T42,4,0),IF(D8=0.45,VLOOKUP(D10,資料!O40:'資料'!T42,5,0),IF(D8&gt;=0.5,VLOOKUP(D10,資料!O40:'資料'!T42,6,0))))))</f>
        <v>1</v>
      </c>
    </row>
    <row r="17" spans="1:6" x14ac:dyDescent="0.25">
      <c r="A17" s="107" t="s">
        <v>405</v>
      </c>
      <c r="B17" s="107"/>
    </row>
    <row r="18" spans="1:6" ht="19.5" x14ac:dyDescent="0.25">
      <c r="A18" s="2" t="s">
        <v>406</v>
      </c>
      <c r="B18" s="2">
        <v>1</v>
      </c>
    </row>
    <row r="19" spans="1:6" ht="19.5" x14ac:dyDescent="0.25">
      <c r="A19" s="2" t="s">
        <v>407</v>
      </c>
      <c r="B19" s="2">
        <v>1</v>
      </c>
    </row>
    <row r="21" spans="1:6" x14ac:dyDescent="0.25">
      <c r="A21" s="107" t="s">
        <v>413</v>
      </c>
      <c r="B21" s="107"/>
    </row>
    <row r="22" spans="1:6" ht="19.5" x14ac:dyDescent="0.25">
      <c r="A22" s="2" t="s">
        <v>409</v>
      </c>
      <c r="B22" s="43">
        <f>A8*B11*B18</f>
        <v>0.8</v>
      </c>
    </row>
    <row r="23" spans="1:6" ht="19.5" x14ac:dyDescent="0.25">
      <c r="A23" s="2" t="s">
        <v>410</v>
      </c>
      <c r="B23" s="2">
        <f>B8*B14*B19</f>
        <v>0.45</v>
      </c>
    </row>
    <row r="24" spans="1:6" ht="19.5" x14ac:dyDescent="0.25">
      <c r="A24" s="2" t="s">
        <v>411</v>
      </c>
      <c r="B24" s="43">
        <f>C8*B12*B18</f>
        <v>1</v>
      </c>
    </row>
    <row r="25" spans="1:6" ht="19.5" x14ac:dyDescent="0.25">
      <c r="A25" s="2" t="s">
        <v>420</v>
      </c>
      <c r="B25" s="2">
        <f>D8*B15*B19</f>
        <v>0.55000000000000004</v>
      </c>
    </row>
    <row r="27" spans="1:6" ht="19.5" x14ac:dyDescent="0.25">
      <c r="A27" s="42" t="s">
        <v>427</v>
      </c>
      <c r="B27" s="2" t="s">
        <v>417</v>
      </c>
      <c r="C27" s="2">
        <f>B23/B22</f>
        <v>0.5625</v>
      </c>
      <c r="D27" s="42" t="s">
        <v>429</v>
      </c>
      <c r="E27" s="2" t="s">
        <v>417</v>
      </c>
      <c r="F27" s="2">
        <f>B23/B22</f>
        <v>0.5625</v>
      </c>
    </row>
    <row r="28" spans="1:6" ht="19.5" x14ac:dyDescent="0.25">
      <c r="A28" s="2" t="s">
        <v>418</v>
      </c>
      <c r="B28" s="43">
        <f>IF(B3&lt;=0.2*C27,B22*(0.4+3*B3/C27),IF(AND(B3&gt;0.2*C27,B3&lt;=C27 ),B22,IF(AND(B3&gt;C27,B3&lt;=2.5*C27),B23/B3,IF(B3&gt;2.5*C27, 0.4*B22))))</f>
        <v>0.66176470588235303</v>
      </c>
      <c r="D28" s="2" t="s">
        <v>418</v>
      </c>
      <c r="E28" s="43">
        <f>IF(B4&lt;=0.2*C27,B22*(0.4+3*B4/C27),IF(AND(B4&gt;0.2*C27,B4&lt;=C27 ),B22,IF(AND(B4&gt;C27,B4&lt;=2.5*C27),B23/B4,IF(B4&gt;2.5*C27, 0.4*B22))))</f>
        <v>0.8</v>
      </c>
    </row>
    <row r="29" spans="1:6" ht="19.5" x14ac:dyDescent="0.25">
      <c r="A29" s="42" t="s">
        <v>428</v>
      </c>
      <c r="B29" s="2" t="s">
        <v>419</v>
      </c>
      <c r="C29" s="2">
        <f>B25/B24</f>
        <v>0.55000000000000004</v>
      </c>
      <c r="D29" s="42" t="s">
        <v>430</v>
      </c>
      <c r="E29" s="2" t="s">
        <v>419</v>
      </c>
      <c r="F29" s="2">
        <f>B25/B24</f>
        <v>0.55000000000000004</v>
      </c>
    </row>
    <row r="30" spans="1:6" ht="19.5" x14ac:dyDescent="0.25">
      <c r="A30" s="2" t="s">
        <v>421</v>
      </c>
      <c r="B30" s="43">
        <f>IF(B3&lt;=0.2*C29,B24*(0.4+3*B3/C29),IF(AND(B3&gt;0.2*C29,B3&lt;=C29),B24,IF(AND(B3&gt;C29,B3&lt;=2.5*C29),B25/B3,IF(B3&gt;2.5*C29, 0.4*B24))))</f>
        <v>0.80882352941176483</v>
      </c>
      <c r="D30" s="2" t="s">
        <v>421</v>
      </c>
      <c r="E30" s="43">
        <f>IF(B4&lt;=0.2*C29,B24*(0.4+3*B4/C29),IF(AND(B4&gt;0.2*C29,B4&lt;=C29),B24,IF(AND(B4&gt;C29,B4&lt;=2.5*C29),B25/B4,IF(B4&gt;2.5*C29, 0.4*B24))))</f>
        <v>0.98214285714285732</v>
      </c>
    </row>
    <row r="32" spans="1:6" ht="19.5" x14ac:dyDescent="0.25">
      <c r="A32" s="42" t="s">
        <v>431</v>
      </c>
      <c r="B32" s="2">
        <f>1+(C3-1)/1.5</f>
        <v>3.5333333333333332</v>
      </c>
      <c r="C32" s="42" t="s">
        <v>432</v>
      </c>
      <c r="D32" s="2">
        <f>1+(C4-1)/1.5</f>
        <v>3.5333333333333332</v>
      </c>
    </row>
    <row r="34" spans="1:4" x14ac:dyDescent="0.25">
      <c r="A34" s="42" t="s">
        <v>436</v>
      </c>
      <c r="B34" s="42" t="s">
        <v>435</v>
      </c>
    </row>
    <row r="35" spans="1:4" x14ac:dyDescent="0.25">
      <c r="A35" s="43">
        <f>IF(B3&gt;=C27,B32,IF(AND(B3&gt;=0.6*C27,B3&lt;C27),SQRT(2*B32-1)+(B32-SQRT(2*B32-1))*(B3-0.6*C27)/(0.4*C27), IF(AND(B3&gt;=0.2*C27,B3&lt;0.6*C27),SQRT(2*B32-1),IF(B3&gt;0.2*C27, SQRT(2*B32-1)+(SQRT(2*B32-1)-1)*(B3-0.2*C27)/(0.2*C27)))))</f>
        <v>3.5333333333333332</v>
      </c>
      <c r="B35" s="43">
        <f>IF(B4&gt;=C27,D32,IF(AND(B4&gt;=0.6*C27,B4&lt;C27),SQRT(2*D32-1)+(D32-SQRT(2*D32-1))*(B4-0.6*C27)/(0.4*C27), IF(AND(B4&gt;=0.2*C27,B4&lt;0.6*C27),SQRT(2*D32-1),IF(B4&gt;0.2*C27, SQRT(2*D32-1)+(SQRT(2*D32-1)-1)*(B4-0.2*C27)/(0.2*C27)))))</f>
        <v>3.5214414121509794</v>
      </c>
    </row>
    <row r="36" spans="1:4" x14ac:dyDescent="0.25">
      <c r="A36" s="42" t="s">
        <v>437</v>
      </c>
      <c r="B36" s="42" t="s">
        <v>438</v>
      </c>
    </row>
    <row r="37" spans="1:4" x14ac:dyDescent="0.25">
      <c r="A37" s="2">
        <f>IF(B3&gt;=C29,C3,IF(AND(B3&gt;=0.6*C29,B3&lt;C29),SQRT(2*C3-1)+(C3-SQRT(2*C3-1))*(B3-0.6*C29)/(0.4*C29), IF(AND(B3&gt;=0.2*C29,B3&lt;0.6*C29),SQRT(2*C3-1),IF(B3&gt;0.2*C29, SQRT(2*C3-1)+(SQRT(2*C3-1)-1)*(B3-0.2*C29)/(0.2*C29)))))</f>
        <v>4.8</v>
      </c>
      <c r="B37" s="2">
        <f>IF(B4&gt;=C29,C3,IF(AND(B4&gt;=0.6*C29,B4&lt;C29),SQRT(2*C3-1)+(C3-SQRT(2*C3-1))*(B4-0.6*C29)/(0.4*C29), IF(AND(B4&gt;=0.2*C29,B4&lt;0.6*C29),SQRT(2*C3-1),IF(B4&gt;0.2*C29, SQRT(2*C3-1)+(SQRT(2*C3-1)-1)*(B4-0.2*C29)/(0.2*C29)))))</f>
        <v>4.8</v>
      </c>
    </row>
    <row r="38" spans="1:4" x14ac:dyDescent="0.25">
      <c r="A38" s="42" t="s">
        <v>433</v>
      </c>
    </row>
    <row r="39" spans="1:4" x14ac:dyDescent="0.25">
      <c r="A39" s="2">
        <v>1.25</v>
      </c>
    </row>
    <row r="40" spans="1:4" ht="19.5" x14ac:dyDescent="0.25">
      <c r="A40" s="42" t="s">
        <v>434</v>
      </c>
    </row>
    <row r="41" spans="1:4" x14ac:dyDescent="0.25">
      <c r="A41" s="2">
        <v>1</v>
      </c>
    </row>
    <row r="42" spans="1:4" x14ac:dyDescent="0.25">
      <c r="A42" s="42" t="s">
        <v>439</v>
      </c>
      <c r="C42" s="42" t="s">
        <v>440</v>
      </c>
    </row>
    <row r="43" spans="1:4" x14ac:dyDescent="0.25">
      <c r="A43" s="2" t="s">
        <v>422</v>
      </c>
      <c r="B43" s="44">
        <f>IF(B28/A35&lt;=0.3,B28/A35, IF( AND(B28/A35&gt;0.3,B28/A35&lt;0.8),0.52*B28/A35+0.144,IF(B28/A35&gt;=0.8,0.7*B28/A35, )))</f>
        <v>0.18729189789123199</v>
      </c>
      <c r="C43" s="2" t="s">
        <v>422</v>
      </c>
      <c r="D43" s="44">
        <f>IF(E28/B35&lt;=0.3,E28/B35, IF( AND(E28/B35&gt;0.3,E28/B35&lt;0.8),0.52*E28/B35+0.144,IF(E28/B35&gt;=0.8,0.7*E28/B35, )))</f>
        <v>0.22717969898336068</v>
      </c>
    </row>
    <row r="44" spans="1:4" x14ac:dyDescent="0.25">
      <c r="A44" s="2" t="s">
        <v>423</v>
      </c>
      <c r="B44" s="43">
        <f>A39/1.4/A41*B43*靜載重計算!E28/1000</f>
        <v>481.75489535436822</v>
      </c>
      <c r="C44" s="2" t="s">
        <v>423</v>
      </c>
      <c r="D44" s="43">
        <f>A39/1.4/A41*D43*靜載重計算!E28/1000</f>
        <v>584.35486714927151</v>
      </c>
    </row>
    <row r="46" spans="1:4" x14ac:dyDescent="0.25">
      <c r="A46" s="42" t="s">
        <v>441</v>
      </c>
      <c r="C46" s="42" t="s">
        <v>442</v>
      </c>
    </row>
    <row r="47" spans="1:4" x14ac:dyDescent="0.25">
      <c r="A47" s="2" t="s">
        <v>423</v>
      </c>
      <c r="B47" s="43">
        <f>A39*A35/4.2/A41*B43*靜載重計算!E28/1000</f>
        <v>567.40021008403357</v>
      </c>
      <c r="C47" s="2" t="s">
        <v>423</v>
      </c>
      <c r="D47" s="43">
        <f>A39*B35/4.2/A41*D43*靜載重計算!E28/1000</f>
        <v>685.92380952380938</v>
      </c>
    </row>
    <row r="49" spans="1:7" ht="19.5" x14ac:dyDescent="0.25">
      <c r="A49" s="45" t="s">
        <v>443</v>
      </c>
      <c r="C49" s="45" t="s">
        <v>444</v>
      </c>
    </row>
    <row r="50" spans="1:7" x14ac:dyDescent="0.25">
      <c r="A50" s="2" t="s">
        <v>424</v>
      </c>
      <c r="B50" s="44">
        <f>IF(B30/A37&lt;=0.3,B30/A37, IF( AND(B30/A37&gt;0.3,B30/A37&lt;0.8),0.52*B30/A37+0.144,IF(B30/A37&gt;=0.8,0.7*B30/A37)))</f>
        <v>0.16850490196078435</v>
      </c>
      <c r="C50" s="2" t="s">
        <v>424</v>
      </c>
      <c r="D50" s="44">
        <f>IF(E30/B37&lt;=0.3,E30/B37, IF( AND(E30/B37&gt;0.3,E30/B37&lt;0.8),0.52*E30/B37+0.144,IF(E30/B37&gt;=0.8,0.7*E30/B37 )))</f>
        <v>0.20461309523809529</v>
      </c>
    </row>
    <row r="51" spans="1:7" x14ac:dyDescent="0.25">
      <c r="A51" s="2" t="s">
        <v>423</v>
      </c>
      <c r="B51" s="43">
        <f>A39/1.4/A41*B50*靜載重計算!E28/1000</f>
        <v>433.43071603641471</v>
      </c>
      <c r="C51" s="2" t="s">
        <v>423</v>
      </c>
      <c r="D51" s="43">
        <f>A39/1.4/A41*D50*靜載重計算!E28/1000</f>
        <v>526.30872661564649</v>
      </c>
    </row>
    <row r="53" spans="1:7" x14ac:dyDescent="0.25">
      <c r="A53" s="48" t="s">
        <v>448</v>
      </c>
      <c r="C53" s="48" t="s">
        <v>449</v>
      </c>
    </row>
    <row r="54" spans="1:7" x14ac:dyDescent="0.25">
      <c r="A54" s="2" t="s">
        <v>445</v>
      </c>
      <c r="B54" s="43">
        <f>MAX(B44,B47,B51)</f>
        <v>567.40021008403357</v>
      </c>
      <c r="C54" s="2" t="s">
        <v>446</v>
      </c>
      <c r="D54" s="43">
        <f>MAX(D44,D47,D51)</f>
        <v>685.92380952380938</v>
      </c>
    </row>
    <row r="56" spans="1:7" ht="17.25" thickBot="1" x14ac:dyDescent="0.3"/>
    <row r="57" spans="1:7" x14ac:dyDescent="0.25">
      <c r="A57" s="108" t="s">
        <v>450</v>
      </c>
      <c r="B57" s="109"/>
      <c r="C57" s="109"/>
      <c r="D57" s="109"/>
      <c r="E57" s="109"/>
      <c r="F57" s="109"/>
      <c r="G57" s="110"/>
    </row>
    <row r="58" spans="1:7" x14ac:dyDescent="0.25">
      <c r="A58" s="41" t="s">
        <v>21</v>
      </c>
      <c r="B58" s="41" t="s">
        <v>23</v>
      </c>
      <c r="C58" s="41" t="s">
        <v>24</v>
      </c>
      <c r="D58" s="41" t="s">
        <v>25</v>
      </c>
      <c r="E58" s="41" t="s">
        <v>26</v>
      </c>
      <c r="F58" s="41" t="s">
        <v>27</v>
      </c>
      <c r="G58" s="47" t="s">
        <v>28</v>
      </c>
    </row>
    <row r="59" spans="1:7" x14ac:dyDescent="0.25">
      <c r="A59" s="2" t="s">
        <v>22</v>
      </c>
      <c r="B59" s="43">
        <f>靜載重計算!E9/1000</f>
        <v>681.28</v>
      </c>
      <c r="C59" s="2">
        <v>16</v>
      </c>
      <c r="D59" s="43">
        <f>B59*C59</f>
        <v>10900.48</v>
      </c>
      <c r="E59" s="46">
        <f>D59/$D$63</f>
        <v>0.38250948862487921</v>
      </c>
      <c r="F59" s="2">
        <f>$C$64*E59</f>
        <v>217.03596420489271</v>
      </c>
      <c r="G59" s="66">
        <f>F59</f>
        <v>217.03596420489271</v>
      </c>
    </row>
    <row r="60" spans="1:7" x14ac:dyDescent="0.25">
      <c r="A60" s="2" t="s">
        <v>8</v>
      </c>
      <c r="B60" s="43">
        <f>靜載重計算!E15/1000</f>
        <v>733.2</v>
      </c>
      <c r="C60" s="2">
        <v>12</v>
      </c>
      <c r="D60" s="43">
        <f t="shared" ref="D60:D62" si="0">B60*C60</f>
        <v>8798.4000000000015</v>
      </c>
      <c r="E60" s="46">
        <f t="shared" ref="E60:E62" si="1">D60/$D$63</f>
        <v>0.30874525568756039</v>
      </c>
      <c r="F60" s="2">
        <f t="shared" ref="F60:F63" si="2">$C$64*E60</f>
        <v>175.18212293957043</v>
      </c>
      <c r="G60" s="66">
        <f>F59+F60</f>
        <v>392.21808714446314</v>
      </c>
    </row>
    <row r="61" spans="1:7" x14ac:dyDescent="0.25">
      <c r="A61" s="2" t="s">
        <v>9</v>
      </c>
      <c r="B61" s="43">
        <f>靜載重計算!E21/1000</f>
        <v>733.2</v>
      </c>
      <c r="C61" s="2">
        <v>8</v>
      </c>
      <c r="D61" s="43">
        <f t="shared" si="0"/>
        <v>5865.6</v>
      </c>
      <c r="E61" s="46">
        <f t="shared" si="1"/>
        <v>0.20583017045837357</v>
      </c>
      <c r="F61" s="2">
        <f t="shared" si="2"/>
        <v>116.78808195971361</v>
      </c>
      <c r="G61" s="66">
        <f>F59+F60+F61</f>
        <v>509.00616910417676</v>
      </c>
    </row>
    <row r="62" spans="1:7" x14ac:dyDescent="0.25">
      <c r="A62" s="2" t="s">
        <v>10</v>
      </c>
      <c r="B62" s="43">
        <f>靜載重計算!E27/1000</f>
        <v>733.2</v>
      </c>
      <c r="C62" s="2">
        <v>4</v>
      </c>
      <c r="D62" s="43">
        <f t="shared" si="0"/>
        <v>2932.8</v>
      </c>
      <c r="E62" s="46">
        <f t="shared" si="1"/>
        <v>0.10291508522918678</v>
      </c>
      <c r="F62" s="2">
        <f t="shared" si="2"/>
        <v>58.394040979856804</v>
      </c>
      <c r="G62" s="66">
        <f>F59+F60+F61+F62</f>
        <v>567.40021008403357</v>
      </c>
    </row>
    <row r="63" spans="1:7" x14ac:dyDescent="0.25">
      <c r="A63" s="2" t="s">
        <v>451</v>
      </c>
      <c r="B63" s="2">
        <f>SUM(B59:B62)</f>
        <v>2880.88</v>
      </c>
      <c r="C63" s="2" t="s">
        <v>452</v>
      </c>
      <c r="D63" s="2">
        <f t="shared" ref="D63:E63" si="3">SUM(D59:D62)</f>
        <v>28497.280000000002</v>
      </c>
      <c r="E63" s="46">
        <f t="shared" si="3"/>
        <v>1</v>
      </c>
      <c r="F63" s="2">
        <f t="shared" si="2"/>
        <v>567.40021008403357</v>
      </c>
      <c r="G63" s="47" t="s">
        <v>452</v>
      </c>
    </row>
    <row r="64" spans="1:7" x14ac:dyDescent="0.25">
      <c r="A64" s="49" t="s">
        <v>447</v>
      </c>
      <c r="B64" s="2" t="s">
        <v>445</v>
      </c>
      <c r="C64" s="43">
        <f>B54</f>
        <v>567.40021008403357</v>
      </c>
      <c r="D64" s="2"/>
      <c r="E64" s="2"/>
      <c r="F64" s="2"/>
      <c r="G64" s="2"/>
    </row>
    <row r="65" spans="1:7" ht="17.25" thickBot="1" x14ac:dyDescent="0.3"/>
    <row r="66" spans="1:7" x14ac:dyDescent="0.25">
      <c r="A66" s="108" t="s">
        <v>453</v>
      </c>
      <c r="B66" s="109"/>
      <c r="C66" s="109"/>
      <c r="D66" s="109"/>
      <c r="E66" s="109"/>
      <c r="F66" s="109"/>
      <c r="G66" s="110"/>
    </row>
    <row r="67" spans="1:7" x14ac:dyDescent="0.25">
      <c r="A67" s="41" t="s">
        <v>21</v>
      </c>
      <c r="B67" s="41" t="s">
        <v>23</v>
      </c>
      <c r="C67" s="41" t="s">
        <v>24</v>
      </c>
      <c r="D67" s="41" t="s">
        <v>25</v>
      </c>
      <c r="E67" s="41" t="s">
        <v>26</v>
      </c>
      <c r="F67" s="41" t="s">
        <v>27</v>
      </c>
      <c r="G67" s="47" t="s">
        <v>28</v>
      </c>
    </row>
    <row r="68" spans="1:7" x14ac:dyDescent="0.25">
      <c r="A68" s="2" t="s">
        <v>22</v>
      </c>
      <c r="B68" s="43">
        <f>靜載重計算!E9/1000</f>
        <v>681.28</v>
      </c>
      <c r="C68" s="2">
        <v>16</v>
      </c>
      <c r="D68" s="43">
        <f>B68*C68</f>
        <v>10900.48</v>
      </c>
      <c r="E68" s="46">
        <f>D68/$D$63</f>
        <v>0.38250948862487921</v>
      </c>
      <c r="F68" s="2">
        <f>$C$73*E68</f>
        <v>262.37236561658136</v>
      </c>
      <c r="G68" s="66">
        <f>F68</f>
        <v>262.37236561658136</v>
      </c>
    </row>
    <row r="69" spans="1:7" x14ac:dyDescent="0.25">
      <c r="A69" s="2" t="s">
        <v>8</v>
      </c>
      <c r="B69" s="43">
        <f>靜載重計算!E15/1000</f>
        <v>733.2</v>
      </c>
      <c r="C69" s="2">
        <v>12</v>
      </c>
      <c r="D69" s="43">
        <f t="shared" ref="D69:D71" si="4">B69*C69</f>
        <v>8798.4000000000015</v>
      </c>
      <c r="E69" s="46">
        <f t="shared" ref="E69:E71" si="5">D69/$D$63</f>
        <v>0.30874525568756039</v>
      </c>
      <c r="F69" s="2">
        <f t="shared" ref="F69:F72" si="6">$C$73*E69</f>
        <v>211.77572195361401</v>
      </c>
      <c r="G69" s="66">
        <f>F68+F69</f>
        <v>474.14808757019534</v>
      </c>
    </row>
    <row r="70" spans="1:7" x14ac:dyDescent="0.25">
      <c r="A70" s="2" t="s">
        <v>9</v>
      </c>
      <c r="B70" s="43">
        <f>靜載重計算!E21/1000</f>
        <v>733.2</v>
      </c>
      <c r="C70" s="2">
        <v>8</v>
      </c>
      <c r="D70" s="43">
        <f t="shared" si="4"/>
        <v>5865.6</v>
      </c>
      <c r="E70" s="46">
        <f t="shared" si="5"/>
        <v>0.20583017045837357</v>
      </c>
      <c r="F70" s="2">
        <f t="shared" si="6"/>
        <v>141.18381463574264</v>
      </c>
      <c r="G70" s="66">
        <f>F68+F69+F70</f>
        <v>615.33190220593792</v>
      </c>
    </row>
    <row r="71" spans="1:7" x14ac:dyDescent="0.25">
      <c r="A71" s="2" t="s">
        <v>10</v>
      </c>
      <c r="B71" s="43">
        <f>靜載重計算!E27/1000</f>
        <v>733.2</v>
      </c>
      <c r="C71" s="2">
        <v>4</v>
      </c>
      <c r="D71" s="43">
        <f t="shared" si="4"/>
        <v>2932.8</v>
      </c>
      <c r="E71" s="46">
        <f t="shared" si="5"/>
        <v>0.10291508522918678</v>
      </c>
      <c r="F71" s="2">
        <f t="shared" si="6"/>
        <v>70.591907317871318</v>
      </c>
      <c r="G71" s="66">
        <f>F68+F69+F70+F71</f>
        <v>685.92380952380927</v>
      </c>
    </row>
    <row r="72" spans="1:7" x14ac:dyDescent="0.25">
      <c r="A72" s="2" t="s">
        <v>451</v>
      </c>
      <c r="B72" s="2">
        <f>SUM(B68:B71)</f>
        <v>2880.88</v>
      </c>
      <c r="C72" s="2" t="s">
        <v>452</v>
      </c>
      <c r="D72" s="2">
        <f t="shared" ref="D72" si="7">SUM(D68:D71)</f>
        <v>28497.280000000002</v>
      </c>
      <c r="E72" s="46">
        <f t="shared" ref="E72" si="8">SUM(E68:E71)</f>
        <v>1</v>
      </c>
      <c r="F72" s="2">
        <f t="shared" si="6"/>
        <v>685.92380952380938</v>
      </c>
      <c r="G72" s="47" t="s">
        <v>452</v>
      </c>
    </row>
    <row r="73" spans="1:7" x14ac:dyDescent="0.25">
      <c r="A73" s="49" t="s">
        <v>454</v>
      </c>
      <c r="B73" s="2" t="s">
        <v>446</v>
      </c>
      <c r="C73" s="43">
        <f>D54</f>
        <v>685.92380952380938</v>
      </c>
      <c r="D73" s="2"/>
      <c r="E73" s="2"/>
      <c r="F73" s="2"/>
      <c r="G73" s="2"/>
    </row>
  </sheetData>
  <mergeCells count="7">
    <mergeCell ref="A57:G57"/>
    <mergeCell ref="A66:G66"/>
    <mergeCell ref="A5:D5"/>
    <mergeCell ref="A10:B10"/>
    <mergeCell ref="A13:B13"/>
    <mergeCell ref="A17:B17"/>
    <mergeCell ref="A21:B21"/>
  </mergeCells>
  <phoneticPr fontId="1" type="noConversion"/>
  <dataValidations count="4">
    <dataValidation type="list" allowBlank="1" showInputMessage="1" showErrorMessage="1" sqref="D6">
      <formula1>INDIRECT(B6)</formula1>
    </dataValidation>
    <dataValidation type="list" allowBlank="1" showInputMessage="1" showErrorMessage="1" sqref="D10">
      <formula1>地盤分類</formula1>
    </dataValidation>
    <dataValidation type="list" allowBlank="1" showInputMessage="1" showErrorMessage="1" sqref="A3:A4">
      <formula1>構架型式</formula1>
    </dataValidation>
    <dataValidation type="list" allowBlank="1" showInputMessage="1" showErrorMessage="1" sqref="B6">
      <formula1>縣市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13" workbookViewId="0">
      <selection activeCell="C31" sqref="C31"/>
    </sheetView>
  </sheetViews>
  <sheetFormatPr defaultRowHeight="16.5" x14ac:dyDescent="0.25"/>
  <cols>
    <col min="1" max="1" width="12" style="1" customWidth="1"/>
    <col min="2" max="2" width="20.25" style="1" customWidth="1"/>
    <col min="3" max="3" width="16.125" style="1" customWidth="1"/>
    <col min="4" max="4" width="19.625" style="1" customWidth="1"/>
    <col min="5" max="5" width="25.625" style="1" customWidth="1"/>
    <col min="6" max="6" width="12.25" style="1" customWidth="1"/>
    <col min="7" max="7" width="8.75" style="1" customWidth="1"/>
    <col min="8" max="8" width="13.375" style="1" customWidth="1"/>
    <col min="9" max="9" width="9" style="1"/>
    <col min="10" max="10" width="10.375" style="1" customWidth="1"/>
    <col min="11" max="11" width="11.75" style="1" customWidth="1"/>
    <col min="12" max="16384" width="9" style="1"/>
  </cols>
  <sheetData>
    <row r="1" spans="1:13" x14ac:dyDescent="0.25">
      <c r="A1" s="42" t="s">
        <v>590</v>
      </c>
      <c r="B1" s="2" t="s">
        <v>591</v>
      </c>
      <c r="C1" s="42" t="s">
        <v>593</v>
      </c>
      <c r="D1" s="95" t="s">
        <v>782</v>
      </c>
    </row>
    <row r="2" spans="1:13" x14ac:dyDescent="0.25">
      <c r="A2" s="2" t="s">
        <v>592</v>
      </c>
      <c r="B2" s="2">
        <v>3.5</v>
      </c>
      <c r="C2" s="2">
        <v>2</v>
      </c>
      <c r="D2" s="2">
        <v>49.5</v>
      </c>
    </row>
    <row r="3" spans="1:13" x14ac:dyDescent="0.25">
      <c r="A3" s="2" t="s">
        <v>607</v>
      </c>
      <c r="B3" s="2">
        <v>2040</v>
      </c>
      <c r="G3" s="14"/>
      <c r="H3" s="107" t="s">
        <v>599</v>
      </c>
      <c r="I3" s="107"/>
      <c r="J3" s="107" t="s">
        <v>600</v>
      </c>
      <c r="K3" s="107"/>
      <c r="L3" s="107"/>
      <c r="M3" s="107"/>
    </row>
    <row r="4" spans="1:13" x14ac:dyDescent="0.25">
      <c r="A4" s="42" t="s">
        <v>581</v>
      </c>
      <c r="B4" s="42" t="s">
        <v>605</v>
      </c>
      <c r="C4" s="42" t="s">
        <v>603</v>
      </c>
      <c r="D4" s="42" t="s">
        <v>597</v>
      </c>
      <c r="E4" s="42" t="s">
        <v>598</v>
      </c>
      <c r="F4" s="42" t="s">
        <v>594</v>
      </c>
      <c r="G4" s="42" t="s">
        <v>595</v>
      </c>
      <c r="H4" s="42" t="s">
        <v>601</v>
      </c>
      <c r="I4" s="42" t="s">
        <v>602</v>
      </c>
      <c r="J4" s="67" t="s">
        <v>730</v>
      </c>
      <c r="K4" s="42" t="s">
        <v>595</v>
      </c>
      <c r="L4" s="42" t="s">
        <v>608</v>
      </c>
      <c r="M4" s="42" t="s">
        <v>595</v>
      </c>
    </row>
    <row r="5" spans="1:13" x14ac:dyDescent="0.25">
      <c r="A5" s="2" t="s">
        <v>709</v>
      </c>
      <c r="B5" s="80" t="s">
        <v>561</v>
      </c>
      <c r="C5" s="2">
        <f>VLOOKUP(B5,寬翼斷面尺寸!$A$2:'寬翼斷面尺寸'!$N$110,8,0)</f>
        <v>9140.0640000000003</v>
      </c>
      <c r="D5" s="44">
        <f xml:space="preserve"> VLOOKUP(B5,寬翼斷面尺寸!$A$2:'寬翼斷面尺寸'!$N$110,7,0)*$B$2*0.3</f>
        <v>400.17599999999999</v>
      </c>
      <c r="E5" s="44">
        <f>0.9*$D$2*1.4</f>
        <v>62.370000000000005</v>
      </c>
      <c r="F5" s="43">
        <f>E5/D5</f>
        <v>0.15585642317380355</v>
      </c>
      <c r="G5" s="2" t="str">
        <f>IF(F5&lt;=1,"OK",IF(F5&gt;1,"NG"))</f>
        <v>OK</v>
      </c>
      <c r="H5" s="2" t="str">
        <f>IF(VLOOKUP(B5,寬翼斷面尺寸!$A$2:'寬翼斷面尺寸'!$N$110,3,0)/VLOOKUP(B5,寬翼斷面尺寸!$A$2:'寬翼斷面尺寸'!$N$110,5,0)/2&lt;=14/SQRT($B$2),"OK",IF( VLOOKUP(B5,寬翼斷面尺寸!$A$2:'寬翼斷面尺寸'!$N$110,3,0)/VLOOKUP(B5,寬翼斷面尺寸!$A$2:'寬翼斷面尺寸'!$N$110,5,0)/2&gt;14/SQRT($B$2),"NG" ))</f>
        <v>OK</v>
      </c>
      <c r="I5" s="2" t="str">
        <f>IF((VLOOKUP(B5,寬翼斷面尺寸!$A$2:'寬翼斷面尺寸'!$N$110,2,0)-2*VLOOKUP(B5,寬翼斷面尺寸!$A$2:'寬翼斷面尺寸'!$N$110,5,0))/VLOOKUP(B5,寬翼斷面尺寸!$A$2:'寬翼斷面尺寸'!$N$110,4,0)&lt;=138/SQRT($B$2),"OK",IF( (VLOOKUP(B5,寬翼斷面尺寸!$A$2:'寬翼斷面尺寸'!$N$110,2,0)-2*VLOOKUP(B5,寬翼斷面尺寸!$A$2:'寬翼斷面尺寸'!$N$110,5,0))/VLOOKUP(B5,寬翼斷面尺寸!$A$2:'寬翼斷面尺寸'!$N$110,4,0)&gt;138/SQRT($B$2),"NG" ))</f>
        <v>OK</v>
      </c>
      <c r="J5" s="46">
        <f>1*400/ VLOOKUP(B5,寬翼斷面尺寸!$A$2:'寬翼斷面尺寸'!$N$110,10,0)*SQRT($B$2/(PI())^2/$B$3)</f>
        <v>0.20633297870863879</v>
      </c>
      <c r="K5" s="2" t="str">
        <f>IF(J5&lt;=1.5,"OK",IF(J5&gt;1.5,"NG" ) )</f>
        <v>OK</v>
      </c>
      <c r="L5" s="46">
        <f>1*400/ VLOOKUP(B5,寬翼斷面尺寸!$A$2:'寬翼斷面尺寸'!$N$110,12,0)*SQRT($B$2/(PI())^2/$B$3)</f>
        <v>0.7224331698535249</v>
      </c>
      <c r="M5" s="2" t="str">
        <f>IF(L5&lt;=1.5,"OK",IF(L5&gt;1.5,"NG" ) )</f>
        <v>OK</v>
      </c>
    </row>
    <row r="6" spans="1:13" x14ac:dyDescent="0.25">
      <c r="A6" s="2" t="s">
        <v>8</v>
      </c>
      <c r="B6" s="81" t="s">
        <v>561</v>
      </c>
      <c r="C6" s="2">
        <f>VLOOKUP(B6,寬翼斷面尺寸!$A$2:'寬翼斷面尺寸'!$N$110,8,0)</f>
        <v>9140.0640000000003</v>
      </c>
      <c r="D6" s="44">
        <f xml:space="preserve"> VLOOKUP(B6,寬翼斷面尺寸!$A$2:'寬翼斷面尺寸'!$N$110,7,0)*$B$2*0.3</f>
        <v>400.17599999999999</v>
      </c>
      <c r="E6" s="44">
        <f>0.9*$D$2*1.4*2</f>
        <v>124.74000000000001</v>
      </c>
      <c r="F6" s="43">
        <f t="shared" ref="F6:F8" si="0">E6/D6</f>
        <v>0.3117128463476071</v>
      </c>
      <c r="G6" s="2" t="str">
        <f t="shared" ref="G6:G8" si="1">IF(F6&lt;=1,"OK",IF(F6&gt;1,"NG"))</f>
        <v>OK</v>
      </c>
      <c r="H6" s="2" t="str">
        <f>IF(VLOOKUP(B6,寬翼斷面尺寸!$A$2:'寬翼斷面尺寸'!$N$110,3,0)/VLOOKUP(B6,寬翼斷面尺寸!$A$2:'寬翼斷面尺寸'!$N$110,5,0)/2&lt;=14/SQRT($B$2),"OK",IF( VLOOKUP(B6,寬翼斷面尺寸!$A$2:'寬翼斷面尺寸'!$N$110,3,0)/VLOOKUP(B6,寬翼斷面尺寸!$A$2:'寬翼斷面尺寸'!$N$110,5,0)/2&gt;14/SQRT($B$2),"NG" ))</f>
        <v>OK</v>
      </c>
      <c r="I6" s="2" t="str">
        <f>IF((VLOOKUP(B6,寬翼斷面尺寸!$A$2:'寬翼斷面尺寸'!$N$110,2,0)-2*VLOOKUP(B6,寬翼斷面尺寸!$A$2:'寬翼斷面尺寸'!$N$110,5,0))/VLOOKUP(B6,寬翼斷面尺寸!$A$2:'寬翼斷面尺寸'!$N$110,4,0)&lt;=138/SQRT($B$2),"OK",IF( (VLOOKUP(B6,寬翼斷面尺寸!$A$2:'寬翼斷面尺寸'!$N$110,2,0)-2*VLOOKUP(B6,寬翼斷面尺寸!$A$2:'寬翼斷面尺寸'!$N$110,5,0))/VLOOKUP(B6,寬翼斷面尺寸!$A$2:'寬翼斷面尺寸'!$N$110,4,0)&gt;138/SQRT($B$2),"NG" ))</f>
        <v>OK</v>
      </c>
      <c r="J6" s="46">
        <f>1*400/ VLOOKUP(B6,寬翼斷面尺寸!$A$2:'寬翼斷面尺寸'!$N$110,10,0)*SQRT($B$2/(PI())^2/$B$3)</f>
        <v>0.20633297870863879</v>
      </c>
      <c r="K6" s="2" t="str">
        <f t="shared" ref="K6:K8" si="2">IF(J6&lt;=1.5,"OK",IF(J6&gt;1.5,"NG" ) )</f>
        <v>OK</v>
      </c>
      <c r="L6" s="46">
        <f>1*400/ VLOOKUP(B6,寬翼斷面尺寸!$A$2:'寬翼斷面尺寸'!$N$110,12,0)*SQRT($B$2/(PI())^2/$B$3)</f>
        <v>0.7224331698535249</v>
      </c>
      <c r="M6" s="2" t="str">
        <f t="shared" ref="M6:M8" si="3">IF(L6&lt;=1.5,"OK",IF(L6&gt;1.5,"NG" ) )</f>
        <v>OK</v>
      </c>
    </row>
    <row r="7" spans="1:13" x14ac:dyDescent="0.25">
      <c r="A7" s="2" t="s">
        <v>9</v>
      </c>
      <c r="B7" s="81" t="s">
        <v>567</v>
      </c>
      <c r="C7" s="2">
        <f>VLOOKUP(B7,寬翼斷面尺寸!$A$2:'寬翼斷面尺寸'!$N$110,8,0)</f>
        <v>11159.103999999999</v>
      </c>
      <c r="D7" s="44">
        <f xml:space="preserve"> VLOOKUP(B7,寬翼斷面尺寸!$A$2:'寬翼斷面尺寸'!$N$110,7,0)*$B$2*0.3</f>
        <v>425.54399999999998</v>
      </c>
      <c r="E7" s="44">
        <f>0.9*$D$2*1.4*3</f>
        <v>187.11</v>
      </c>
      <c r="F7" s="43">
        <f t="shared" si="0"/>
        <v>0.43969601263324126</v>
      </c>
      <c r="G7" s="2" t="str">
        <f t="shared" si="1"/>
        <v>OK</v>
      </c>
      <c r="H7" s="2" t="str">
        <f>IF(VLOOKUP(B7,寬翼斷面尺寸!$A$2:'寬翼斷面尺寸'!$N$110,3,0)/VLOOKUP(B7,寬翼斷面尺寸!$A$2:'寬翼斷面尺寸'!$N$110,5,0)/2&lt;=14/SQRT($B$2),"OK",IF( VLOOKUP(B7,寬翼斷面尺寸!$A$2:'寬翼斷面尺寸'!$N$110,3,0)/VLOOKUP(B7,寬翼斷面尺寸!$A$2:'寬翼斷面尺寸'!$N$110,5,0)/2&gt;14/SQRT($B$2),"NG" ))</f>
        <v>OK</v>
      </c>
      <c r="I7" s="2" t="str">
        <f>IF((VLOOKUP(B7,寬翼斷面尺寸!$A$2:'寬翼斷面尺寸'!$N$110,2,0)-2*VLOOKUP(B7,寬翼斷面尺寸!$A$2:'寬翼斷面尺寸'!$N$110,5,0))/VLOOKUP(B7,寬翼斷面尺寸!$A$2:'寬翼斷面尺寸'!$N$110,4,0)&lt;=138/SQRT($B$2),"OK",IF( (VLOOKUP(B7,寬翼斷面尺寸!$A$2:'寬翼斷面尺寸'!$N$110,2,0)-2*VLOOKUP(B7,寬翼斷面尺寸!$A$2:'寬翼斷面尺寸'!$N$110,5,0))/VLOOKUP(B7,寬翼斷面尺寸!$A$2:'寬翼斷面尺寸'!$N$110,4,0)&gt;138/SQRT($B$2),"NG" ))</f>
        <v>OK</v>
      </c>
      <c r="J7" s="46">
        <f>1*400/ VLOOKUP(B7,寬翼斷面尺寸!$A$2:'寬翼斷面尺寸'!$N$110,10,0)*SQRT($B$2/(PI())^2/$B$3)</f>
        <v>0.17854143864823099</v>
      </c>
      <c r="K7" s="2" t="str">
        <f t="shared" si="2"/>
        <v>OK</v>
      </c>
      <c r="L7" s="46">
        <f>1*400/ VLOOKUP(B7,寬翼斷面尺寸!$A$2:'寬翼斷面尺寸'!$N$110,12,0)*SQRT($B$2/(PI())^2/$B$3)</f>
        <v>0.74834159112790188</v>
      </c>
      <c r="M7" s="2" t="str">
        <f t="shared" si="3"/>
        <v>OK</v>
      </c>
    </row>
    <row r="8" spans="1:13" x14ac:dyDescent="0.25">
      <c r="A8" s="2" t="s">
        <v>10</v>
      </c>
      <c r="B8" s="81" t="s">
        <v>567</v>
      </c>
      <c r="C8" s="2">
        <f>VLOOKUP(B8,寬翼斷面尺寸!$A$2:'寬翼斷面尺寸'!$N$110,8,0)</f>
        <v>11159.103999999999</v>
      </c>
      <c r="D8" s="44">
        <f xml:space="preserve"> VLOOKUP(B8,寬翼斷面尺寸!$A$2:'寬翼斷面尺寸'!$N$110,7,0)*$B$2*0.3</f>
        <v>425.54399999999998</v>
      </c>
      <c r="E8" s="44">
        <f>0.9*$D$2*1.4*4</f>
        <v>249.48000000000002</v>
      </c>
      <c r="F8" s="43">
        <f t="shared" si="0"/>
        <v>0.58626135017765502</v>
      </c>
      <c r="G8" s="2" t="str">
        <f t="shared" si="1"/>
        <v>OK</v>
      </c>
      <c r="H8" s="2" t="str">
        <f>IF(VLOOKUP(B8,寬翼斷面尺寸!$A$2:'寬翼斷面尺寸'!$N$110,3,0)/VLOOKUP(B8,寬翼斷面尺寸!$A$2:'寬翼斷面尺寸'!$N$110,5,0)/2&lt;=14/SQRT($B$2),"OK",IF( VLOOKUP(B8,寬翼斷面尺寸!$A$2:'寬翼斷面尺寸'!$N$110,3,0)/VLOOKUP(B8,寬翼斷面尺寸!$A$2:'寬翼斷面尺寸'!$N$110,5,0)/2&gt;14/SQRT($B$2),"NG" ))</f>
        <v>OK</v>
      </c>
      <c r="I8" s="2" t="str">
        <f>IF((VLOOKUP(B8,寬翼斷面尺寸!$A$2:'寬翼斷面尺寸'!$N$110,2,0)-2*VLOOKUP(B8,寬翼斷面尺寸!$A$2:'寬翼斷面尺寸'!$N$110,5,0))/VLOOKUP(B8,寬翼斷面尺寸!$A$2:'寬翼斷面尺寸'!$N$110,4,0)&lt;=138/SQRT($B$2),"OK",IF( (VLOOKUP(B8,寬翼斷面尺寸!$A$2:'寬翼斷面尺寸'!$N$110,2,0)-2*VLOOKUP(B8,寬翼斷面尺寸!$A$2:'寬翼斷面尺寸'!$N$110,5,0))/VLOOKUP(B8,寬翼斷面尺寸!$A$2:'寬翼斷面尺寸'!$N$110,4,0)&gt;138/SQRT($B$2),"NG" ))</f>
        <v>OK</v>
      </c>
      <c r="J8" s="46">
        <f>1*400/ VLOOKUP(B8,寬翼斷面尺寸!$A$2:'寬翼斷面尺寸'!$N$110,10,0)*SQRT($B$2/(PI())^2/$B$3)</f>
        <v>0.17854143864823099</v>
      </c>
      <c r="K8" s="2" t="str">
        <f t="shared" si="2"/>
        <v>OK</v>
      </c>
      <c r="L8" s="46">
        <f>1*400/ VLOOKUP(B8,寬翼斷面尺寸!$A$2:'寬翼斷面尺寸'!$N$110,12,0)*SQRT($B$2/(PI())^2/$B$3)</f>
        <v>0.74834159112790188</v>
      </c>
      <c r="M8" s="2" t="str">
        <f t="shared" si="3"/>
        <v>OK</v>
      </c>
    </row>
    <row r="10" spans="1:13" x14ac:dyDescent="0.25">
      <c r="A10" s="42" t="s">
        <v>581</v>
      </c>
      <c r="B10" s="42" t="s">
        <v>606</v>
      </c>
      <c r="C10" s="42" t="s">
        <v>603</v>
      </c>
      <c r="D10" s="42" t="s">
        <v>604</v>
      </c>
    </row>
    <row r="11" spans="1:13" x14ac:dyDescent="0.25">
      <c r="A11" s="2" t="s">
        <v>709</v>
      </c>
      <c r="B11" s="80" t="s">
        <v>596</v>
      </c>
      <c r="C11" s="2">
        <f>VLOOKUP(B11,寬翼斷面尺寸!$A$2:'寬翼斷面尺寸'!$N$110,8,0)</f>
        <v>5738.1120000000001</v>
      </c>
      <c r="D11" s="2" t="str">
        <f>IF( C5/C11&gt;=1.25,"OK",IF(C5/C11&lt;1.25,"NG"))</f>
        <v>OK</v>
      </c>
    </row>
    <row r="12" spans="1:13" x14ac:dyDescent="0.25">
      <c r="A12" s="2" t="s">
        <v>8</v>
      </c>
      <c r="B12" s="81" t="s">
        <v>596</v>
      </c>
      <c r="C12" s="2">
        <f>VLOOKUP(B12,寬翼斷面尺寸!$A$2:'寬翼斷面尺寸'!$N$110,8,0)</f>
        <v>5738.1120000000001</v>
      </c>
      <c r="D12" s="2" t="str">
        <f t="shared" ref="D12:D14" si="4">IF( C6/C12&gt;=1.25,"OK",IF(C6/C12&lt;1.25,"NG"))</f>
        <v>OK</v>
      </c>
    </row>
    <row r="13" spans="1:13" x14ac:dyDescent="0.25">
      <c r="A13" s="2" t="s">
        <v>9</v>
      </c>
      <c r="B13" s="81" t="s">
        <v>560</v>
      </c>
      <c r="C13" s="2">
        <f>VLOOKUP(B13,寬翼斷面尺寸!$A$2:'寬翼斷面尺寸'!$N$110,8,0)</f>
        <v>7596.2240000000002</v>
      </c>
      <c r="D13" s="2" t="str">
        <f t="shared" si="4"/>
        <v>OK</v>
      </c>
    </row>
    <row r="14" spans="1:13" x14ac:dyDescent="0.25">
      <c r="A14" s="2" t="s">
        <v>10</v>
      </c>
      <c r="B14" s="81" t="s">
        <v>560</v>
      </c>
      <c r="C14" s="2">
        <f>VLOOKUP(B14,寬翼斷面尺寸!$A$2:'寬翼斷面尺寸'!$N$110,8,0)</f>
        <v>7596.2240000000002</v>
      </c>
      <c r="D14" s="2" t="str">
        <f t="shared" si="4"/>
        <v>OK</v>
      </c>
    </row>
    <row r="17" spans="1:7" x14ac:dyDescent="0.25">
      <c r="A17" s="51"/>
      <c r="B17" s="51"/>
      <c r="C17" s="51"/>
      <c r="D17" s="51"/>
      <c r="E17" s="51"/>
      <c r="F17" s="51"/>
      <c r="G17" s="51"/>
    </row>
    <row r="18" spans="1:7" x14ac:dyDescent="0.25">
      <c r="A18" s="51"/>
      <c r="B18" s="161"/>
      <c r="C18" s="51"/>
      <c r="D18" s="51"/>
      <c r="E18" s="161"/>
      <c r="F18" s="51"/>
      <c r="G18" s="51"/>
    </row>
    <row r="19" spans="1:7" x14ac:dyDescent="0.25">
      <c r="A19" s="51"/>
      <c r="B19" s="162"/>
      <c r="C19" s="51"/>
      <c r="D19" s="51"/>
      <c r="E19" s="162"/>
      <c r="F19" s="51"/>
      <c r="G19" s="51"/>
    </row>
    <row r="20" spans="1:7" x14ac:dyDescent="0.25">
      <c r="A20" s="51"/>
      <c r="B20" s="162"/>
      <c r="C20" s="51"/>
      <c r="D20" s="51"/>
      <c r="E20" s="162"/>
      <c r="F20" s="51"/>
      <c r="G20" s="51"/>
    </row>
    <row r="21" spans="1:7" x14ac:dyDescent="0.25">
      <c r="A21" s="51"/>
      <c r="B21" s="162"/>
      <c r="C21" s="51"/>
      <c r="D21" s="51"/>
      <c r="E21" s="162"/>
      <c r="F21" s="51"/>
      <c r="G21" s="51"/>
    </row>
    <row r="22" spans="1:7" x14ac:dyDescent="0.25">
      <c r="A22" s="51"/>
      <c r="B22" s="51"/>
      <c r="C22" s="51"/>
      <c r="D22" s="51"/>
      <c r="E22" s="51"/>
      <c r="F22" s="51"/>
      <c r="G22" s="51"/>
    </row>
    <row r="23" spans="1:7" x14ac:dyDescent="0.25">
      <c r="A23" s="51"/>
      <c r="B23" s="161"/>
      <c r="C23" s="51"/>
      <c r="D23" s="51"/>
      <c r="E23" s="161"/>
      <c r="F23" s="51"/>
      <c r="G23" s="51"/>
    </row>
    <row r="24" spans="1:7" x14ac:dyDescent="0.25">
      <c r="A24" s="51"/>
      <c r="B24" s="162"/>
      <c r="C24" s="51"/>
      <c r="D24" s="51"/>
      <c r="E24" s="162"/>
      <c r="F24" s="51"/>
      <c r="G24" s="51"/>
    </row>
    <row r="25" spans="1:7" x14ac:dyDescent="0.25">
      <c r="A25" s="51"/>
      <c r="B25" s="162"/>
      <c r="C25" s="51"/>
      <c r="D25" s="51"/>
      <c r="E25" s="162"/>
      <c r="F25" s="51"/>
      <c r="G25" s="51"/>
    </row>
    <row r="26" spans="1:7" x14ac:dyDescent="0.25">
      <c r="A26" s="51"/>
      <c r="B26" s="162"/>
      <c r="C26" s="51"/>
      <c r="D26" s="51"/>
      <c r="E26" s="162"/>
      <c r="F26" s="51"/>
      <c r="G26" s="51"/>
    </row>
    <row r="27" spans="1:7" x14ac:dyDescent="0.25">
      <c r="A27" s="51"/>
      <c r="B27" s="51"/>
      <c r="C27" s="51"/>
      <c r="D27" s="51"/>
      <c r="E27" s="51"/>
      <c r="F27" s="51"/>
      <c r="G27" s="51"/>
    </row>
    <row r="28" spans="1:7" x14ac:dyDescent="0.25">
      <c r="A28" s="51"/>
      <c r="B28" s="161"/>
      <c r="C28" s="51"/>
      <c r="D28" s="51"/>
      <c r="E28" s="161"/>
      <c r="F28" s="51"/>
      <c r="G28" s="51"/>
    </row>
    <row r="29" spans="1:7" x14ac:dyDescent="0.25">
      <c r="A29" s="51"/>
      <c r="B29" s="162"/>
      <c r="C29" s="51"/>
      <c r="D29" s="51"/>
      <c r="E29" s="162"/>
      <c r="F29" s="51"/>
      <c r="G29" s="51"/>
    </row>
    <row r="30" spans="1:7" x14ac:dyDescent="0.25">
      <c r="A30" s="51"/>
      <c r="B30" s="162"/>
      <c r="C30" s="51"/>
      <c r="D30" s="51"/>
      <c r="E30" s="162"/>
      <c r="F30" s="51"/>
      <c r="G30" s="51"/>
    </row>
    <row r="31" spans="1:7" x14ac:dyDescent="0.25">
      <c r="A31" s="51"/>
      <c r="B31" s="162"/>
      <c r="C31" s="51"/>
      <c r="D31" s="51"/>
      <c r="E31" s="162"/>
      <c r="F31" s="51"/>
      <c r="G31" s="51"/>
    </row>
    <row r="32" spans="1:7" x14ac:dyDescent="0.25">
      <c r="A32" s="51"/>
      <c r="B32" s="51"/>
      <c r="C32" s="51"/>
      <c r="D32" s="51"/>
      <c r="E32" s="51"/>
      <c r="F32" s="51"/>
      <c r="G32" s="51"/>
    </row>
    <row r="33" spans="1:7" x14ac:dyDescent="0.25">
      <c r="A33" s="51"/>
      <c r="B33" s="161"/>
      <c r="C33" s="51"/>
      <c r="D33" s="51"/>
      <c r="E33" s="161"/>
      <c r="F33" s="51"/>
      <c r="G33" s="51"/>
    </row>
    <row r="34" spans="1:7" x14ac:dyDescent="0.25">
      <c r="A34" s="51"/>
      <c r="B34" s="162"/>
      <c r="C34" s="51"/>
      <c r="D34" s="51"/>
      <c r="E34" s="162"/>
      <c r="F34" s="51"/>
      <c r="G34" s="51"/>
    </row>
    <row r="35" spans="1:7" x14ac:dyDescent="0.25">
      <c r="A35" s="51"/>
      <c r="B35" s="162"/>
      <c r="C35" s="51"/>
      <c r="D35" s="51"/>
      <c r="E35" s="162"/>
      <c r="F35" s="51"/>
      <c r="G35" s="51"/>
    </row>
    <row r="36" spans="1:7" x14ac:dyDescent="0.25">
      <c r="A36" s="51"/>
      <c r="B36" s="162"/>
      <c r="C36" s="51"/>
      <c r="D36" s="51"/>
      <c r="E36" s="162"/>
      <c r="F36" s="51"/>
      <c r="G36" s="51"/>
    </row>
  </sheetData>
  <mergeCells count="2">
    <mergeCell ref="H3:I3"/>
    <mergeCell ref="J3:M3"/>
  </mergeCells>
  <phoneticPr fontId="1" type="noConversion"/>
  <dataValidations count="1">
    <dataValidation type="list" allowBlank="1" showInputMessage="1" showErrorMessage="1" sqref="B5:B8 B11:B14 B18:B21 B23:B26 E18:E21 E23:E26 B28:B31 E28:E31 B33:B36 E33:E36">
      <formula1>Section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opLeftCell="A4" zoomScaleNormal="100" workbookViewId="0">
      <selection activeCell="B87" sqref="B87"/>
    </sheetView>
  </sheetViews>
  <sheetFormatPr defaultRowHeight="16.5" x14ac:dyDescent="0.25"/>
  <cols>
    <col min="1" max="1" width="15.25" style="1" customWidth="1"/>
    <col min="2" max="2" width="17.75" style="1" customWidth="1"/>
    <col min="3" max="3" width="18" style="1" customWidth="1"/>
    <col min="4" max="4" width="18.5" style="1" customWidth="1"/>
    <col min="5" max="5" width="15.875" style="1" customWidth="1"/>
    <col min="6" max="6" width="18.5" style="1" customWidth="1"/>
    <col min="7" max="7" width="14.875" style="1" customWidth="1"/>
    <col min="8" max="8" width="13.75" style="1" customWidth="1"/>
    <col min="9" max="9" width="12.25" style="1" customWidth="1"/>
    <col min="10" max="16384" width="9" style="1"/>
  </cols>
  <sheetData>
    <row r="1" spans="1:9" x14ac:dyDescent="0.25">
      <c r="A1" s="42" t="s">
        <v>590</v>
      </c>
      <c r="B1" s="2" t="s">
        <v>591</v>
      </c>
      <c r="C1" s="42" t="s">
        <v>593</v>
      </c>
    </row>
    <row r="2" spans="1:9" ht="19.5" x14ac:dyDescent="0.25">
      <c r="A2" s="2" t="s">
        <v>741</v>
      </c>
      <c r="B2" s="2">
        <v>3.5</v>
      </c>
      <c r="C2" s="2">
        <v>4</v>
      </c>
    </row>
    <row r="3" spans="1:9" ht="19.5" x14ac:dyDescent="0.25">
      <c r="A3" s="2" t="s">
        <v>742</v>
      </c>
      <c r="B3" s="2">
        <v>2040</v>
      </c>
    </row>
    <row r="4" spans="1:9" x14ac:dyDescent="0.25">
      <c r="A4" s="70" t="s">
        <v>726</v>
      </c>
      <c r="B4" s="70">
        <v>1.1000000000000001</v>
      </c>
    </row>
    <row r="5" spans="1:9" ht="17.25" thickBot="1" x14ac:dyDescent="0.3">
      <c r="A5" s="74" t="s">
        <v>693</v>
      </c>
    </row>
    <row r="6" spans="1:9" x14ac:dyDescent="0.25">
      <c r="A6" s="72" t="s">
        <v>705</v>
      </c>
    </row>
    <row r="7" spans="1:9" x14ac:dyDescent="0.25">
      <c r="A7" s="42" t="s">
        <v>581</v>
      </c>
      <c r="B7" s="42" t="s">
        <v>694</v>
      </c>
      <c r="C7" s="42" t="s">
        <v>698</v>
      </c>
      <c r="D7" s="42" t="s">
        <v>700</v>
      </c>
      <c r="E7" s="42" t="s">
        <v>695</v>
      </c>
      <c r="F7" s="42" t="s">
        <v>727</v>
      </c>
    </row>
    <row r="8" spans="1:9" x14ac:dyDescent="0.25">
      <c r="A8" s="2" t="s">
        <v>709</v>
      </c>
      <c r="B8" s="2">
        <v>150</v>
      </c>
      <c r="C8" s="2">
        <v>325</v>
      </c>
      <c r="D8" s="43">
        <f>地震力計算!G68/4/2</f>
        <v>32.79654570207267</v>
      </c>
      <c r="E8" s="43">
        <f>D8*400/(C8+0.5*B8)</f>
        <v>32.79654570207267</v>
      </c>
      <c r="F8" s="71">
        <f>ATAN(400/C8)</f>
        <v>0.8884797719201486</v>
      </c>
    </row>
    <row r="9" spans="1:9" x14ac:dyDescent="0.25">
      <c r="A9" s="2" t="s">
        <v>8</v>
      </c>
      <c r="B9" s="2">
        <v>150</v>
      </c>
      <c r="C9" s="2">
        <v>325</v>
      </c>
      <c r="D9" s="43">
        <f>地震力計算!G69/4/2</f>
        <v>59.268510946274418</v>
      </c>
      <c r="E9" s="43">
        <f t="shared" ref="E9:E11" si="0">D9*400/(C9+0.5*B9)</f>
        <v>59.268510946274418</v>
      </c>
      <c r="F9" s="71">
        <f t="shared" ref="F9:F11" si="1">ATAN(400/C9)</f>
        <v>0.8884797719201486</v>
      </c>
    </row>
    <row r="10" spans="1:9" x14ac:dyDescent="0.25">
      <c r="A10" s="2" t="s">
        <v>9</v>
      </c>
      <c r="B10" s="2">
        <v>150</v>
      </c>
      <c r="C10" s="2">
        <v>325</v>
      </c>
      <c r="D10" s="43">
        <f>地震力計算!G70/4/2</f>
        <v>76.91648777574224</v>
      </c>
      <c r="E10" s="43">
        <f t="shared" si="0"/>
        <v>76.91648777574224</v>
      </c>
      <c r="F10" s="71">
        <f t="shared" si="1"/>
        <v>0.8884797719201486</v>
      </c>
    </row>
    <row r="11" spans="1:9" x14ac:dyDescent="0.25">
      <c r="A11" s="2" t="s">
        <v>10</v>
      </c>
      <c r="B11" s="2">
        <v>150</v>
      </c>
      <c r="C11" s="2">
        <v>325</v>
      </c>
      <c r="D11" s="43">
        <f>地震力計算!G71/4/2</f>
        <v>85.740476190476159</v>
      </c>
      <c r="E11" s="43">
        <f t="shared" si="0"/>
        <v>85.740476190476159</v>
      </c>
      <c r="F11" s="71">
        <f t="shared" si="1"/>
        <v>0.8884797719201486</v>
      </c>
    </row>
    <row r="12" spans="1:9" x14ac:dyDescent="0.25">
      <c r="A12" s="50" t="s">
        <v>696</v>
      </c>
      <c r="H12" s="107" t="s">
        <v>599</v>
      </c>
      <c r="I12" s="107"/>
    </row>
    <row r="13" spans="1:9" x14ac:dyDescent="0.25">
      <c r="A13" s="42" t="s">
        <v>581</v>
      </c>
      <c r="B13" s="42" t="s">
        <v>455</v>
      </c>
      <c r="C13" s="42" t="s">
        <v>697</v>
      </c>
      <c r="D13" s="42" t="s">
        <v>699</v>
      </c>
      <c r="E13" s="42" t="s">
        <v>701</v>
      </c>
      <c r="F13" s="42" t="s">
        <v>702</v>
      </c>
      <c r="G13" s="42" t="s">
        <v>703</v>
      </c>
      <c r="H13" s="42" t="s">
        <v>601</v>
      </c>
      <c r="I13" s="42" t="s">
        <v>602</v>
      </c>
    </row>
    <row r="14" spans="1:9" x14ac:dyDescent="0.25">
      <c r="A14" s="2" t="s">
        <v>709</v>
      </c>
      <c r="B14" s="81" t="s">
        <v>497</v>
      </c>
      <c r="C14" s="71">
        <f>0.6*$B$2*(VLOOKUP(B14,寬翼斷面尺寸!$A$2:'寬翼斷面尺寸'!$N$110,2,0) - 2*VLOOKUP(B14,寬翼斷面尺寸!$A$2:'寬翼斷面尺寸'!$N$110,5,0) )*VLOOKUP(B14,寬翼斷面尺寸!$A$2:'寬翼斷面尺寸'!$N$110,4,0)/100</f>
        <v>98.28</v>
      </c>
      <c r="D14" s="71">
        <f>$B$2*VLOOKUP(B14,寬翼斷面尺寸!$A$2:'寬翼斷面尺寸'!$N$110,8,0)</f>
        <v>7861.4480000000003</v>
      </c>
      <c r="E14" s="43">
        <f>1.6*D14/C14</f>
        <v>127.98450142450143</v>
      </c>
      <c r="F14" s="43">
        <f>2.6*D14/C14</f>
        <v>207.97481481481483</v>
      </c>
      <c r="G14" s="2" t="str">
        <f>IF(B8&lt;=E14,"Shear Link",IF(AND(B8&gt;E14,B8&lt;F14),"MIX",IF( B8&gt;=F14,"Moment Link"                 )                        )                 )</f>
        <v>MIX</v>
      </c>
      <c r="H14" s="2" t="str">
        <f>IF(VLOOKUP(B14,寬翼斷面尺寸!$A$2:'寬翼斷面尺寸'!$N$110,3,0)/VLOOKUP(B14,寬翼斷面尺寸!$A$2:'寬翼斷面尺寸'!$N$110,5,0)/2&lt;=14/SQRT($B$2),"OK",IF( VLOOKUP(B14,寬翼斷面尺寸!$A$2:'寬翼斷面尺寸'!$N$110,3,0)/VLOOKUP(B14,寬翼斷面尺寸!$A$2:'寬翼斷面尺寸'!$N$110,5,0)/2&gt;14/SQRT($B$2),"NG" ))</f>
        <v>OK</v>
      </c>
      <c r="I14" s="2" t="str">
        <f>IF((VLOOKUP(B14,寬翼斷面尺寸!$A$2:'寬翼斷面尺寸'!$N$110,2,0)-2*VLOOKUP(B14,寬翼斷面尺寸!$A$2:'寬翼斷面尺寸'!$N$110,5,0))/VLOOKUP(B14,寬翼斷面尺寸!$A$2:'寬翼斷面尺寸'!$N$110,4,0)&lt;=138/SQRT($B$2),"OK",IF( (VLOOKUP(B14,寬翼斷面尺寸!$A$2:'寬翼斷面尺寸'!$N$110,2,0)-2*VLOOKUP(B14,寬翼斷面尺寸!$A$2:'寬翼斷面尺寸'!$N$110,5,0))/VLOOKUP(B14,寬翼斷面尺寸!$A$2:'寬翼斷面尺寸'!$N$110,4,0)&gt;138/SQRT($B$2),"NG" ))</f>
        <v>OK</v>
      </c>
    </row>
    <row r="15" spans="1:9" x14ac:dyDescent="0.25">
      <c r="A15" s="2" t="s">
        <v>8</v>
      </c>
      <c r="B15" s="81" t="s">
        <v>497</v>
      </c>
      <c r="C15" s="71">
        <f>0.6*$B$2*(VLOOKUP(B15,寬翼斷面尺寸!$A$2:'寬翼斷面尺寸'!$N$110,2,0) - 2*VLOOKUP(B15,寬翼斷面尺寸!$A$2:'寬翼斷面尺寸'!$N$110,5,0) )*VLOOKUP(B15,寬翼斷面尺寸!$A$2:'寬翼斷面尺寸'!$N$110,4,0)/100</f>
        <v>98.28</v>
      </c>
      <c r="D15" s="71">
        <f>$B$2*VLOOKUP(B15,寬翼斷面尺寸!$A$2:'寬翼斷面尺寸'!$N$110,8,0)</f>
        <v>7861.4480000000003</v>
      </c>
      <c r="E15" s="43">
        <f t="shared" ref="E15:E17" si="2">1.6*D15/C15</f>
        <v>127.98450142450143</v>
      </c>
      <c r="F15" s="43">
        <f t="shared" ref="F15:F17" si="3">2.6*D15/C15</f>
        <v>207.97481481481483</v>
      </c>
      <c r="G15" s="2" t="str">
        <f t="shared" ref="G15:G17" si="4">IF(B9&lt;=E15,"Shear Link",IF(AND(B9&gt;E15,B9&lt;F15),"MIX",IF( B9&gt;=F15,"Moment Link"                 )                        )                 )</f>
        <v>MIX</v>
      </c>
      <c r="H15" s="2" t="str">
        <f>IF(VLOOKUP(B15,寬翼斷面尺寸!$A$2:'寬翼斷面尺寸'!$N$110,3,0)/VLOOKUP(B15,寬翼斷面尺寸!$A$2:'寬翼斷面尺寸'!$N$110,5,0)/2&lt;=14/SQRT($B$2),"OK",IF( VLOOKUP(B15,寬翼斷面尺寸!$A$2:'寬翼斷面尺寸'!$N$110,3,0)/VLOOKUP(B15,寬翼斷面尺寸!$A$2:'寬翼斷面尺寸'!$N$110,5,0)/2&gt;14/SQRT($B$2),"NG" ))</f>
        <v>OK</v>
      </c>
      <c r="I15" s="2" t="str">
        <f>IF((VLOOKUP(B15,寬翼斷面尺寸!$A$2:'寬翼斷面尺寸'!$N$110,2,0)-2*VLOOKUP(B15,寬翼斷面尺寸!$A$2:'寬翼斷面尺寸'!$N$110,5,0))/VLOOKUP(B15,寬翼斷面尺寸!$A$2:'寬翼斷面尺寸'!$N$110,4,0)&lt;=138/SQRT($B$2),"OK",IF( (VLOOKUP(B15,寬翼斷面尺寸!$A$2:'寬翼斷面尺寸'!$N$110,2,0)-2*VLOOKUP(B15,寬翼斷面尺寸!$A$2:'寬翼斷面尺寸'!$N$110,5,0))/VLOOKUP(B15,寬翼斷面尺寸!$A$2:'寬翼斷面尺寸'!$N$110,4,0)&gt;138/SQRT($B$2),"NG" ))</f>
        <v>OK</v>
      </c>
    </row>
    <row r="16" spans="1:9" x14ac:dyDescent="0.25">
      <c r="A16" s="2" t="s">
        <v>9</v>
      </c>
      <c r="B16" s="81" t="s">
        <v>504</v>
      </c>
      <c r="C16" s="71">
        <f>0.6*$B$2*(VLOOKUP(B16,寬翼斷面尺寸!$A$2:'寬翼斷面尺寸'!$N$110,2,0) - 2*VLOOKUP(B16,寬翼斷面尺寸!$A$2:'寬翼斷面尺寸'!$N$110,5,0) )*VLOOKUP(B16,寬翼斷面尺寸!$A$2:'寬翼斷面尺寸'!$N$110,4,0)/100</f>
        <v>104.83200000000001</v>
      </c>
      <c r="D16" s="71">
        <f>$B$2*VLOOKUP(B16,寬翼斷面尺寸!$A$2:'寬翼斷面尺寸'!$N$110,8,0)</f>
        <v>11354.112000000001</v>
      </c>
      <c r="E16" s="43">
        <f t="shared" si="2"/>
        <v>173.2923076923077</v>
      </c>
      <c r="F16" s="43">
        <f t="shared" si="3"/>
        <v>281.60000000000002</v>
      </c>
      <c r="G16" s="2" t="str">
        <f t="shared" si="4"/>
        <v>Shear Link</v>
      </c>
      <c r="H16" s="2" t="str">
        <f>IF(VLOOKUP(B16,寬翼斷面尺寸!$A$2:'寬翼斷面尺寸'!$N$110,3,0)/VLOOKUP(B16,寬翼斷面尺寸!$A$2:'寬翼斷面尺寸'!$N$110,5,0)/2&lt;=14/SQRT($B$2),"OK",IF( VLOOKUP(B16,寬翼斷面尺寸!$A$2:'寬翼斷面尺寸'!$N$110,3,0)/VLOOKUP(B16,寬翼斷面尺寸!$A$2:'寬翼斷面尺寸'!$N$110,5,0)/2&gt;14/SQRT($B$2),"NG" ))</f>
        <v>OK</v>
      </c>
      <c r="I16" s="2" t="str">
        <f>IF((VLOOKUP(B16,寬翼斷面尺寸!$A$2:'寬翼斷面尺寸'!$N$110,2,0)-2*VLOOKUP(B16,寬翼斷面尺寸!$A$2:'寬翼斷面尺寸'!$N$110,5,0))/VLOOKUP(B16,寬翼斷面尺寸!$A$2:'寬翼斷面尺寸'!$N$110,4,0)&lt;=138/SQRT($B$2),"OK",IF( (VLOOKUP(B16,寬翼斷面尺寸!$A$2:'寬翼斷面尺寸'!$N$110,2,0)-2*VLOOKUP(B16,寬翼斷面尺寸!$A$2:'寬翼斷面尺寸'!$N$110,5,0))/VLOOKUP(B16,寬翼斷面尺寸!$A$2:'寬翼斷面尺寸'!$N$110,4,0)&gt;138/SQRT($B$2),"NG" ))</f>
        <v>OK</v>
      </c>
    </row>
    <row r="17" spans="1:9" x14ac:dyDescent="0.25">
      <c r="A17" s="2" t="s">
        <v>10</v>
      </c>
      <c r="B17" s="81" t="s">
        <v>504</v>
      </c>
      <c r="C17" s="71">
        <f>0.6*$B$2*(VLOOKUP(B17,寬翼斷面尺寸!$A$2:'寬翼斷面尺寸'!$N$110,2,0) - 2*VLOOKUP(B17,寬翼斷面尺寸!$A$2:'寬翼斷面尺寸'!$N$110,5,0) )*VLOOKUP(B17,寬翼斷面尺寸!$A$2:'寬翼斷面尺寸'!$N$110,4,0)/100</f>
        <v>104.83200000000001</v>
      </c>
      <c r="D17" s="71">
        <f>$B$2*VLOOKUP(B17,寬翼斷面尺寸!$A$2:'寬翼斷面尺寸'!$N$110,8,0)</f>
        <v>11354.112000000001</v>
      </c>
      <c r="E17" s="43">
        <f t="shared" si="2"/>
        <v>173.2923076923077</v>
      </c>
      <c r="F17" s="43">
        <f t="shared" si="3"/>
        <v>281.60000000000002</v>
      </c>
      <c r="G17" s="2" t="str">
        <f t="shared" si="4"/>
        <v>Shear Link</v>
      </c>
      <c r="H17" s="2" t="str">
        <f>IF(VLOOKUP(B17,寬翼斷面尺寸!$A$2:'寬翼斷面尺寸'!$N$110,3,0)/VLOOKUP(B17,寬翼斷面尺寸!$A$2:'寬翼斷面尺寸'!$N$110,5,0)/2&lt;=14/SQRT($B$2),"OK",IF( VLOOKUP(B17,寬翼斷面尺寸!$A$2:'寬翼斷面尺寸'!$N$110,3,0)/VLOOKUP(B17,寬翼斷面尺寸!$A$2:'寬翼斷面尺寸'!$N$110,5,0)/2&gt;14/SQRT($B$2),"NG" ))</f>
        <v>OK</v>
      </c>
      <c r="I17" s="2" t="str">
        <f>IF((VLOOKUP(B17,寬翼斷面尺寸!$A$2:'寬翼斷面尺寸'!$N$110,2,0)-2*VLOOKUP(B17,寬翼斷面尺寸!$A$2:'寬翼斷面尺寸'!$N$110,5,0))/VLOOKUP(B17,寬翼斷面尺寸!$A$2:'寬翼斷面尺寸'!$N$110,4,0)&lt;=138/SQRT($B$2),"OK",IF( (VLOOKUP(B17,寬翼斷面尺寸!$A$2:'寬翼斷面尺寸'!$N$110,2,0)-2*VLOOKUP(B17,寬翼斷面尺寸!$A$2:'寬翼斷面尺寸'!$N$110,5,0))/VLOOKUP(B17,寬翼斷面尺寸!$A$2:'寬翼斷面尺寸'!$N$110,4,0)&gt;138/SQRT($B$2),"NG" ))</f>
        <v>OK</v>
      </c>
    </row>
    <row r="18" spans="1:9" x14ac:dyDescent="0.25">
      <c r="A18" s="50" t="s">
        <v>704</v>
      </c>
    </row>
    <row r="19" spans="1:9" x14ac:dyDescent="0.25">
      <c r="A19" s="42" t="s">
        <v>581</v>
      </c>
      <c r="B19" s="42" t="s">
        <v>705</v>
      </c>
      <c r="C19" s="42" t="s">
        <v>706</v>
      </c>
      <c r="D19" s="42" t="s">
        <v>707</v>
      </c>
      <c r="E19" s="42" t="s">
        <v>595</v>
      </c>
    </row>
    <row r="20" spans="1:9" x14ac:dyDescent="0.25">
      <c r="A20" s="2" t="s">
        <v>709</v>
      </c>
      <c r="B20" s="43">
        <f>E8</f>
        <v>32.79654570207267</v>
      </c>
      <c r="C20" s="43">
        <f>C14*0.9</f>
        <v>88.451999999999998</v>
      </c>
      <c r="D20" s="43">
        <f>B20/C20</f>
        <v>0.37078354024863963</v>
      </c>
      <c r="E20" s="2" t="str">
        <f>IF( D20&gt;1,"NG",IF(D20&lt;=1,"OK")   )</f>
        <v>OK</v>
      </c>
    </row>
    <row r="21" spans="1:9" x14ac:dyDescent="0.25">
      <c r="A21" s="2" t="s">
        <v>8</v>
      </c>
      <c r="B21" s="43">
        <f t="shared" ref="B21:B23" si="5">E9</f>
        <v>59.268510946274418</v>
      </c>
      <c r="C21" s="43">
        <f t="shared" ref="C21:C23" si="6">C15*0.9</f>
        <v>88.451999999999998</v>
      </c>
      <c r="D21" s="43">
        <f t="shared" ref="D21:D23" si="7">B21/C21</f>
        <v>0.67006411326227133</v>
      </c>
      <c r="E21" s="2" t="str">
        <f t="shared" ref="E21:E23" si="8">IF( D21&gt;1,"NG",IF(D21&lt;=1,"OK")   )</f>
        <v>OK</v>
      </c>
    </row>
    <row r="22" spans="1:9" x14ac:dyDescent="0.25">
      <c r="A22" s="2" t="s">
        <v>9</v>
      </c>
      <c r="B22" s="43">
        <f t="shared" si="5"/>
        <v>76.91648777574224</v>
      </c>
      <c r="C22" s="43">
        <f t="shared" si="6"/>
        <v>94.348800000000011</v>
      </c>
      <c r="D22" s="43">
        <f t="shared" si="7"/>
        <v>0.81523546431689886</v>
      </c>
      <c r="E22" s="2" t="str">
        <f t="shared" si="8"/>
        <v>OK</v>
      </c>
    </row>
    <row r="23" spans="1:9" x14ac:dyDescent="0.25">
      <c r="A23" s="2" t="s">
        <v>10</v>
      </c>
      <c r="B23" s="43">
        <f t="shared" si="5"/>
        <v>85.740476190476159</v>
      </c>
      <c r="C23" s="43">
        <f t="shared" si="6"/>
        <v>94.348800000000011</v>
      </c>
      <c r="D23" s="43">
        <f t="shared" si="7"/>
        <v>0.90876064338365881</v>
      </c>
      <c r="E23" s="2" t="str">
        <f t="shared" si="8"/>
        <v>OK</v>
      </c>
    </row>
    <row r="25" spans="1:9" x14ac:dyDescent="0.25">
      <c r="A25" s="114" t="s">
        <v>728</v>
      </c>
      <c r="B25" s="114"/>
      <c r="C25" s="114"/>
      <c r="D25" s="76"/>
    </row>
    <row r="26" spans="1:9" x14ac:dyDescent="0.25">
      <c r="A26" s="67" t="s">
        <v>581</v>
      </c>
      <c r="B26" s="67" t="s">
        <v>710</v>
      </c>
      <c r="C26" s="67" t="s">
        <v>718</v>
      </c>
    </row>
    <row r="27" spans="1:9" x14ac:dyDescent="0.25">
      <c r="A27" s="2" t="s">
        <v>709</v>
      </c>
      <c r="B27" s="43">
        <f>C14</f>
        <v>98.28</v>
      </c>
      <c r="C27" s="43">
        <f>B27*B8/2</f>
        <v>7371</v>
      </c>
    </row>
    <row r="28" spans="1:9" x14ac:dyDescent="0.25">
      <c r="A28" s="2" t="s">
        <v>8</v>
      </c>
      <c r="B28" s="43">
        <f t="shared" ref="B28:B30" si="9">C15</f>
        <v>98.28</v>
      </c>
      <c r="C28" s="43">
        <f t="shared" ref="C28:C30" si="10">B28*B9/2</f>
        <v>7371</v>
      </c>
    </row>
    <row r="29" spans="1:9" x14ac:dyDescent="0.25">
      <c r="A29" s="2" t="s">
        <v>9</v>
      </c>
      <c r="B29" s="43">
        <f t="shared" si="9"/>
        <v>104.83200000000001</v>
      </c>
      <c r="C29" s="43">
        <f t="shared" si="10"/>
        <v>7862.4000000000005</v>
      </c>
    </row>
    <row r="30" spans="1:9" x14ac:dyDescent="0.25">
      <c r="A30" s="2" t="s">
        <v>10</v>
      </c>
      <c r="B30" s="43">
        <f t="shared" si="9"/>
        <v>104.83200000000001</v>
      </c>
      <c r="C30" s="43">
        <f t="shared" si="10"/>
        <v>7862.4000000000005</v>
      </c>
    </row>
    <row r="32" spans="1:9" x14ac:dyDescent="0.25">
      <c r="A32" s="75" t="s">
        <v>708</v>
      </c>
    </row>
    <row r="33" spans="1:8" x14ac:dyDescent="0.25">
      <c r="A33" s="50" t="s">
        <v>705</v>
      </c>
    </row>
    <row r="34" spans="1:8" ht="19.5" x14ac:dyDescent="0.25">
      <c r="A34" s="42" t="s">
        <v>581</v>
      </c>
      <c r="B34" s="42" t="s">
        <v>711</v>
      </c>
      <c r="C34" s="42" t="s">
        <v>719</v>
      </c>
      <c r="D34" s="42" t="s">
        <v>720</v>
      </c>
      <c r="E34" s="42" t="s">
        <v>721</v>
      </c>
      <c r="F34" s="73" t="s">
        <v>714</v>
      </c>
      <c r="G34" s="42" t="s">
        <v>715</v>
      </c>
      <c r="H34" s="42" t="s">
        <v>725</v>
      </c>
    </row>
    <row r="35" spans="1:8" x14ac:dyDescent="0.25">
      <c r="A35" s="2" t="s">
        <v>709</v>
      </c>
      <c r="B35" s="80" t="s">
        <v>740</v>
      </c>
      <c r="C35" s="43">
        <f>400/SIN(F8)</f>
        <v>515.38820320220759</v>
      </c>
      <c r="D35" s="43">
        <f>VLOOKUP(B35,箱型斷面尺寸!$A$2:'箱型斷面尺寸'!$J$83,8,0)</f>
        <v>39834.888533333324</v>
      </c>
      <c r="E35" s="43">
        <f>D35/C35</f>
        <v>77.291036709477197</v>
      </c>
      <c r="F35" s="43">
        <f>1.25*$B$4*B27</f>
        <v>135.13499999999999</v>
      </c>
      <c r="G35" s="43">
        <f>E35/(E35+E43)*C27</f>
        <v>3066.7432374465247</v>
      </c>
      <c r="H35" s="43">
        <f>1.1*F35/SIN(F8)</f>
        <v>191.52920830925839</v>
      </c>
    </row>
    <row r="36" spans="1:8" x14ac:dyDescent="0.25">
      <c r="A36" s="2" t="s">
        <v>8</v>
      </c>
      <c r="B36" s="81" t="s">
        <v>713</v>
      </c>
      <c r="C36" s="43">
        <f t="shared" ref="C36:C38" si="11">400/SIN(F9)</f>
        <v>515.38820320220759</v>
      </c>
      <c r="D36" s="43">
        <f>VLOOKUP(B36,箱型斷面尺寸!$A$2:'箱型斷面尺寸'!$J$83,8,0)</f>
        <v>39834.888533333324</v>
      </c>
      <c r="E36" s="43">
        <f t="shared" ref="E36:E38" si="12">D36/C36</f>
        <v>77.291036709477197</v>
      </c>
      <c r="F36" s="43">
        <f t="shared" ref="F36:F38" si="13">1.25*$B$4*B28</f>
        <v>135.13499999999999</v>
      </c>
      <c r="G36" s="43">
        <f t="shared" ref="G36:G38" si="14">E36/(E36+E44)*C28</f>
        <v>3066.7432374465247</v>
      </c>
      <c r="H36" s="43">
        <f t="shared" ref="H36:H38" si="15">1.1*F36/SIN(F9)</f>
        <v>191.52920830925839</v>
      </c>
    </row>
    <row r="37" spans="1:8" x14ac:dyDescent="0.25">
      <c r="A37" s="2" t="s">
        <v>9</v>
      </c>
      <c r="B37" s="81" t="s">
        <v>713</v>
      </c>
      <c r="C37" s="43">
        <f t="shared" si="11"/>
        <v>515.38820320220759</v>
      </c>
      <c r="D37" s="43">
        <f>VLOOKUP(B37,箱型斷面尺寸!$A$2:'箱型斷面尺寸'!$J$83,8,0)</f>
        <v>39834.888533333324</v>
      </c>
      <c r="E37" s="43">
        <f t="shared" si="12"/>
        <v>77.291036709477197</v>
      </c>
      <c r="F37" s="43">
        <f t="shared" si="13"/>
        <v>144.14400000000001</v>
      </c>
      <c r="G37" s="43">
        <f t="shared" si="14"/>
        <v>2557.99904068248</v>
      </c>
      <c r="H37" s="43">
        <f t="shared" si="15"/>
        <v>204.29782219654228</v>
      </c>
    </row>
    <row r="38" spans="1:8" x14ac:dyDescent="0.25">
      <c r="A38" s="2" t="s">
        <v>10</v>
      </c>
      <c r="B38" s="81" t="s">
        <v>713</v>
      </c>
      <c r="C38" s="43">
        <f t="shared" si="11"/>
        <v>515.38820320220759</v>
      </c>
      <c r="D38" s="43">
        <f>VLOOKUP(B38,箱型斷面尺寸!$A$2:'箱型斷面尺寸'!$J$83,8,0)</f>
        <v>39834.888533333324</v>
      </c>
      <c r="E38" s="43">
        <f t="shared" si="12"/>
        <v>77.291036709477197</v>
      </c>
      <c r="F38" s="43">
        <f t="shared" si="13"/>
        <v>144.14400000000001</v>
      </c>
      <c r="G38" s="43">
        <f t="shared" si="14"/>
        <v>2557.99904068248</v>
      </c>
      <c r="H38" s="43">
        <f t="shared" si="15"/>
        <v>204.29782219654228</v>
      </c>
    </row>
    <row r="40" spans="1:8" x14ac:dyDescent="0.25">
      <c r="A40" s="75" t="s">
        <v>716</v>
      </c>
    </row>
    <row r="41" spans="1:8" x14ac:dyDescent="0.25">
      <c r="A41" s="50" t="s">
        <v>717</v>
      </c>
    </row>
    <row r="42" spans="1:8" ht="19.5" x14ac:dyDescent="0.25">
      <c r="A42" s="42" t="s">
        <v>581</v>
      </c>
      <c r="B42" s="42" t="s">
        <v>711</v>
      </c>
      <c r="C42" s="42" t="s">
        <v>722</v>
      </c>
      <c r="D42" s="42" t="s">
        <v>723</v>
      </c>
      <c r="E42" s="42" t="s">
        <v>724</v>
      </c>
      <c r="F42" s="73" t="s">
        <v>714</v>
      </c>
      <c r="G42" s="42" t="s">
        <v>715</v>
      </c>
      <c r="H42" s="42" t="s">
        <v>725</v>
      </c>
    </row>
    <row r="43" spans="1:8" x14ac:dyDescent="0.25">
      <c r="A43" s="2" t="s">
        <v>709</v>
      </c>
      <c r="B43" s="2" t="str">
        <f>B14</f>
        <v>H356X256X15X22</v>
      </c>
      <c r="C43" s="2">
        <f>C8</f>
        <v>325</v>
      </c>
      <c r="D43" s="43">
        <f>VLOOKUP(B43,寬翼斷面尺寸!$A$2:'寬翼斷面尺寸'!$N$110,9,0)</f>
        <v>35256.01706666666</v>
      </c>
      <c r="E43" s="43">
        <f>D43/C43</f>
        <v>108.48005251282049</v>
      </c>
      <c r="F43" s="43">
        <f>1.1*$B$4*B27</f>
        <v>118.91880000000002</v>
      </c>
      <c r="G43" s="43">
        <f>E43/(E35+E43)*C27</f>
        <v>4304.2567625534748</v>
      </c>
      <c r="H43" s="43">
        <f>1.1*F43/TAN(F8)</f>
        <v>106.28367750000001</v>
      </c>
    </row>
    <row r="44" spans="1:8" x14ac:dyDescent="0.25">
      <c r="A44" s="2" t="s">
        <v>8</v>
      </c>
      <c r="B44" s="2" t="str">
        <f t="shared" ref="B44:B46" si="16">B15</f>
        <v>H356X256X15X22</v>
      </c>
      <c r="C44" s="2">
        <f t="shared" ref="C44:C46" si="17">C9</f>
        <v>325</v>
      </c>
      <c r="D44" s="43">
        <f>VLOOKUP(B44,寬翼斷面尺寸!$A$2:'寬翼斷面尺寸'!$N$110,9,0)</f>
        <v>35256.01706666666</v>
      </c>
      <c r="E44" s="43">
        <f t="shared" ref="E44:E46" si="18">D44/C44</f>
        <v>108.48005251282049</v>
      </c>
      <c r="F44" s="43">
        <f t="shared" ref="F44:F46" si="19">1.1*$B$4*B28</f>
        <v>118.91880000000002</v>
      </c>
      <c r="G44" s="43">
        <f t="shared" ref="G44:G46" si="20">E44/(E36+E44)*C28</f>
        <v>4304.2567625534748</v>
      </c>
      <c r="H44" s="43">
        <f t="shared" ref="H44:H46" si="21">1.1*F44/TAN(F9)</f>
        <v>106.28367750000001</v>
      </c>
    </row>
    <row r="45" spans="1:8" x14ac:dyDescent="0.25">
      <c r="A45" s="2" t="s">
        <v>9</v>
      </c>
      <c r="B45" s="2" t="str">
        <f t="shared" si="16"/>
        <v>H360X354X16X24</v>
      </c>
      <c r="C45" s="2">
        <f t="shared" si="17"/>
        <v>325</v>
      </c>
      <c r="D45" s="43">
        <f>VLOOKUP(B45,寬翼斷面尺寸!$A$2:'寬翼斷面尺寸'!$N$110,9,0)</f>
        <v>52089.29280000001</v>
      </c>
      <c r="E45" s="43">
        <f t="shared" si="18"/>
        <v>160.27474707692312</v>
      </c>
      <c r="F45" s="43">
        <f t="shared" si="19"/>
        <v>126.84672000000003</v>
      </c>
      <c r="G45" s="43">
        <f t="shared" si="20"/>
        <v>5304.4009593175206</v>
      </c>
      <c r="H45" s="43">
        <f t="shared" si="21"/>
        <v>113.36925600000002</v>
      </c>
    </row>
    <row r="46" spans="1:8" x14ac:dyDescent="0.25">
      <c r="A46" s="2" t="s">
        <v>10</v>
      </c>
      <c r="B46" s="2" t="str">
        <f t="shared" si="16"/>
        <v>H360X354X16X24</v>
      </c>
      <c r="C46" s="2">
        <f t="shared" si="17"/>
        <v>325</v>
      </c>
      <c r="D46" s="43">
        <f>VLOOKUP(B46,寬翼斷面尺寸!$A$2:'寬翼斷面尺寸'!$N$110,9,0)</f>
        <v>52089.29280000001</v>
      </c>
      <c r="E46" s="43">
        <f t="shared" si="18"/>
        <v>160.27474707692312</v>
      </c>
      <c r="F46" s="43">
        <f t="shared" si="19"/>
        <v>126.84672000000003</v>
      </c>
      <c r="G46" s="43">
        <f t="shared" si="20"/>
        <v>5304.4009593175206</v>
      </c>
      <c r="H46" s="43">
        <f t="shared" si="21"/>
        <v>113.36925600000002</v>
      </c>
    </row>
    <row r="48" spans="1:8" x14ac:dyDescent="0.25">
      <c r="A48" s="75" t="s">
        <v>708</v>
      </c>
    </row>
    <row r="49" spans="1:8" x14ac:dyDescent="0.25">
      <c r="A49" s="50" t="s">
        <v>729</v>
      </c>
      <c r="C49" s="107" t="s">
        <v>732</v>
      </c>
      <c r="D49" s="107"/>
    </row>
    <row r="50" spans="1:8" ht="19.5" x14ac:dyDescent="0.25">
      <c r="A50" s="42" t="s">
        <v>581</v>
      </c>
      <c r="B50" s="77" t="s">
        <v>711</v>
      </c>
      <c r="C50" s="42" t="s">
        <v>731</v>
      </c>
      <c r="D50" s="42" t="s">
        <v>733</v>
      </c>
      <c r="E50" s="42" t="s">
        <v>734</v>
      </c>
      <c r="F50" s="42" t="s">
        <v>735</v>
      </c>
      <c r="G50" s="79" t="s">
        <v>736</v>
      </c>
      <c r="H50" s="79" t="s">
        <v>737</v>
      </c>
    </row>
    <row r="51" spans="1:8" x14ac:dyDescent="0.25">
      <c r="A51" s="2" t="s">
        <v>709</v>
      </c>
      <c r="B51" s="78" t="str">
        <f>B35</f>
        <v>BOX350X350X16</v>
      </c>
      <c r="C51" s="43">
        <f>1*C35/VLOOKUP(B51,箱型斷面尺寸!$A$2:'箱型斷面尺寸'!$J$83,9,0)*SQRT($B$2/(PI())^2/$B$3)</f>
        <v>0.49777714987749799</v>
      </c>
      <c r="D51" s="2" t="str">
        <f>IF(C51&lt;=1.5,"OK",IF(C51&gt;1.5,"NG"))</f>
        <v>OK</v>
      </c>
      <c r="E51" s="43">
        <f>VLOOKUP(B51,箱型斷面尺寸!$A$2:'箱型斷面尺寸'!$J$83,6,0)*0.658^(C51^2)*$B$2</f>
        <v>674.45676788464323</v>
      </c>
      <c r="F51" s="43">
        <f>$B$2*VLOOKUP(B51,箱型斷面尺寸!$A$2:'箱型斷面尺寸'!$J$83,7,0)</f>
        <v>9377.8719999999994</v>
      </c>
      <c r="G51" s="2">
        <f>0.85</f>
        <v>0.85</v>
      </c>
      <c r="H51" s="2">
        <f>0.9</f>
        <v>0.9</v>
      </c>
    </row>
    <row r="52" spans="1:8" x14ac:dyDescent="0.25">
      <c r="A52" s="2" t="s">
        <v>8</v>
      </c>
      <c r="B52" s="78" t="str">
        <f t="shared" ref="B52:B54" si="22">B36</f>
        <v>BOX350X350X16</v>
      </c>
      <c r="C52" s="43">
        <f>1*C36/VLOOKUP(B52,箱型斷面尺寸!$A$2:'箱型斷面尺寸'!$J$83,9,0)*SQRT($B$2/(PI())^2/$B$3)</f>
        <v>0.49777714987749799</v>
      </c>
      <c r="D52" s="2" t="str">
        <f t="shared" ref="D52:D54" si="23">IF(C52&lt;=1.5,"OK",IF(C52&gt;1.5,"NG"))</f>
        <v>OK</v>
      </c>
      <c r="E52" s="43">
        <f>VLOOKUP(B52,箱型斷面尺寸!$A$2:'箱型斷面尺寸'!$J$83,6,0)*0.658^(C52^2)*$B$2</f>
        <v>674.45676788464323</v>
      </c>
      <c r="F52" s="43">
        <f>$B$2*VLOOKUP(B52,箱型斷面尺寸!$A$2:'箱型斷面尺寸'!$J$83,7,0)</f>
        <v>9377.8719999999994</v>
      </c>
      <c r="G52" s="2">
        <f t="shared" ref="G52:G54" si="24">0.85</f>
        <v>0.85</v>
      </c>
      <c r="H52" s="2">
        <f t="shared" ref="H52:H54" si="25">0.9</f>
        <v>0.9</v>
      </c>
    </row>
    <row r="53" spans="1:8" x14ac:dyDescent="0.25">
      <c r="A53" s="2" t="s">
        <v>9</v>
      </c>
      <c r="B53" s="78" t="str">
        <f t="shared" si="22"/>
        <v>BOX350X350X16</v>
      </c>
      <c r="C53" s="43">
        <f>1*C37/VLOOKUP(B53,箱型斷面尺寸!$A$2:'箱型斷面尺寸'!$J$83,9,0)*SQRT($B$2/(PI())^2/$B$3)</f>
        <v>0.49777714987749799</v>
      </c>
      <c r="D53" s="2" t="str">
        <f t="shared" si="23"/>
        <v>OK</v>
      </c>
      <c r="E53" s="43">
        <f>VLOOKUP(B53,箱型斷面尺寸!$A$2:'箱型斷面尺寸'!$J$83,6,0)*0.658^(C53^2)*$B$2</f>
        <v>674.45676788464323</v>
      </c>
      <c r="F53" s="43">
        <f>$B$2*VLOOKUP(B53,箱型斷面尺寸!$A$2:'箱型斷面尺寸'!$J$83,7,0)</f>
        <v>9377.8719999999994</v>
      </c>
      <c r="G53" s="2">
        <f t="shared" si="24"/>
        <v>0.85</v>
      </c>
      <c r="H53" s="2">
        <f t="shared" si="25"/>
        <v>0.9</v>
      </c>
    </row>
    <row r="54" spans="1:8" x14ac:dyDescent="0.25">
      <c r="A54" s="2" t="s">
        <v>10</v>
      </c>
      <c r="B54" s="78" t="str">
        <f t="shared" si="22"/>
        <v>BOX350X350X16</v>
      </c>
      <c r="C54" s="43">
        <f>1*C38/VLOOKUP(B54,箱型斷面尺寸!$A$2:'箱型斷面尺寸'!$J$83,9,0)*SQRT($B$2/(PI())^2/$B$3)</f>
        <v>0.49777714987749799</v>
      </c>
      <c r="D54" s="2" t="str">
        <f t="shared" si="23"/>
        <v>OK</v>
      </c>
      <c r="E54" s="43">
        <f>VLOOKUP(B54,箱型斷面尺寸!$A$2:'箱型斷面尺寸'!$J$83,6,0)*0.658^(C54^2)*$B$2</f>
        <v>674.45676788464323</v>
      </c>
      <c r="F54" s="43">
        <f>$B$2*VLOOKUP(B54,箱型斷面尺寸!$A$2:'箱型斷面尺寸'!$J$83,7,0)</f>
        <v>9377.8719999999994</v>
      </c>
      <c r="G54" s="2">
        <f t="shared" si="24"/>
        <v>0.85</v>
      </c>
      <c r="H54" s="2">
        <f t="shared" si="25"/>
        <v>0.9</v>
      </c>
    </row>
    <row r="55" spans="1:8" x14ac:dyDescent="0.25">
      <c r="A55" s="50" t="s">
        <v>704</v>
      </c>
    </row>
    <row r="56" spans="1:8" x14ac:dyDescent="0.25">
      <c r="A56" s="42" t="s">
        <v>581</v>
      </c>
      <c r="B56" s="42" t="s">
        <v>704</v>
      </c>
      <c r="C56" s="42" t="s">
        <v>595</v>
      </c>
    </row>
    <row r="57" spans="1:8" x14ac:dyDescent="0.25">
      <c r="A57" s="2" t="s">
        <v>709</v>
      </c>
      <c r="B57" s="43">
        <f>H35/G51/E51+(8/9)*G35/H51/F51</f>
        <v>0.65707066634920364</v>
      </c>
      <c r="C57" s="2" t="str">
        <f>IF( B57&gt;1,"NG",IF(B57&lt;=1,"OK")   )</f>
        <v>OK</v>
      </c>
    </row>
    <row r="58" spans="1:8" x14ac:dyDescent="0.25">
      <c r="A58" s="2" t="s">
        <v>8</v>
      </c>
      <c r="B58" s="43">
        <f t="shared" ref="B58:B60" si="26">H36/G52/E52+(8/9)*G36/H52/F52</f>
        <v>0.65707066634920364</v>
      </c>
      <c r="C58" s="2" t="str">
        <f t="shared" ref="C58:C60" si="27">IF( B58&gt;1,"NG",IF(B58&lt;=1,"OK")   )</f>
        <v>OK</v>
      </c>
    </row>
    <row r="59" spans="1:8" x14ac:dyDescent="0.25">
      <c r="A59" s="2" t="s">
        <v>9</v>
      </c>
      <c r="B59" s="43">
        <f t="shared" si="26"/>
        <v>0.62576357330423393</v>
      </c>
      <c r="C59" s="2" t="str">
        <f t="shared" si="27"/>
        <v>OK</v>
      </c>
    </row>
    <row r="60" spans="1:8" x14ac:dyDescent="0.25">
      <c r="A60" s="2" t="s">
        <v>10</v>
      </c>
      <c r="B60" s="43">
        <f t="shared" si="26"/>
        <v>0.62576357330423393</v>
      </c>
      <c r="C60" s="2" t="str">
        <f t="shared" si="27"/>
        <v>OK</v>
      </c>
    </row>
    <row r="62" spans="1:8" x14ac:dyDescent="0.25">
      <c r="A62" s="75" t="s">
        <v>716</v>
      </c>
    </row>
    <row r="63" spans="1:8" x14ac:dyDescent="0.25">
      <c r="A63" s="50" t="s">
        <v>729</v>
      </c>
      <c r="C63" s="107" t="s">
        <v>732</v>
      </c>
      <c r="D63" s="107"/>
    </row>
    <row r="64" spans="1:8" ht="19.5" x14ac:dyDescent="0.25">
      <c r="A64" s="42" t="s">
        <v>581</v>
      </c>
      <c r="B64" s="42" t="s">
        <v>711</v>
      </c>
      <c r="C64" s="42" t="s">
        <v>738</v>
      </c>
      <c r="D64" s="42" t="s">
        <v>733</v>
      </c>
      <c r="E64" s="42" t="s">
        <v>734</v>
      </c>
      <c r="F64" s="42" t="s">
        <v>735</v>
      </c>
      <c r="G64" s="79" t="s">
        <v>736</v>
      </c>
      <c r="H64" s="79" t="s">
        <v>737</v>
      </c>
    </row>
    <row r="65" spans="1:8" x14ac:dyDescent="0.25">
      <c r="A65" s="2" t="s">
        <v>709</v>
      </c>
      <c r="B65" s="2" t="str">
        <f>B43</f>
        <v>H356X256X15X22</v>
      </c>
      <c r="C65" s="43">
        <f>1*C43/VLOOKUP(B43,寬翼斷面尺寸!$A$2:'寬翼斷面尺寸'!$N$110,12,0)*SQRT($B$2/(PI())^2/$B$3)</f>
        <v>0.68935967941977627</v>
      </c>
      <c r="D65" s="2" t="str">
        <f>IF(C65&gt;1.5,"NG",IF(C65&lt;=1.5,"OK")   )</f>
        <v>OK</v>
      </c>
      <c r="E65" s="43">
        <f>VLOOKUP(B65,寬翼斷面尺寸!$A$2:'寬翼斷面尺寸'!$N$110,7,0)*0.658^(C65^2)*$B$2</f>
        <v>457.38637860936336</v>
      </c>
      <c r="F65" s="43">
        <f>$B$2*VLOOKUP(B65,寬翼斷面尺寸!$A$2:'寬翼斷面尺寸'!$N$110,8,0)</f>
        <v>7861.4480000000003</v>
      </c>
      <c r="G65" s="2">
        <f>0.85</f>
        <v>0.85</v>
      </c>
      <c r="H65" s="2">
        <f>0.9</f>
        <v>0.9</v>
      </c>
    </row>
    <row r="66" spans="1:8" x14ac:dyDescent="0.25">
      <c r="A66" s="2" t="s">
        <v>8</v>
      </c>
      <c r="B66" s="2" t="str">
        <f t="shared" ref="B66:B68" si="28">B44</f>
        <v>H356X256X15X22</v>
      </c>
      <c r="C66" s="43">
        <f>1*C44/VLOOKUP(B44,寬翼斷面尺寸!$A$2:'寬翼斷面尺寸'!$N$110,12,0)*SQRT($B$2/(PI())^2/$B$3)</f>
        <v>0.68935967941977627</v>
      </c>
      <c r="D66" s="2" t="str">
        <f t="shared" ref="D66:D68" si="29">IF(C66&gt;1.5,"NG",IF(C66&lt;=1.5,"OK")   )</f>
        <v>OK</v>
      </c>
      <c r="E66" s="43">
        <f>VLOOKUP(B66,寬翼斷面尺寸!$A$2:'寬翼斷面尺寸'!$N$110,7,0)*0.658^(C66^2)*$B$2</f>
        <v>457.38637860936336</v>
      </c>
      <c r="F66" s="43">
        <f>$B$2*VLOOKUP(B66,寬翼斷面尺寸!$A$2:'寬翼斷面尺寸'!$N$110,8,0)</f>
        <v>7861.4480000000003</v>
      </c>
      <c r="G66" s="2">
        <f t="shared" ref="G66:G68" si="30">0.85</f>
        <v>0.85</v>
      </c>
      <c r="H66" s="2">
        <f t="shared" ref="H66:H68" si="31">0.9</f>
        <v>0.9</v>
      </c>
    </row>
    <row r="67" spans="1:8" x14ac:dyDescent="0.25">
      <c r="A67" s="2" t="s">
        <v>9</v>
      </c>
      <c r="B67" s="2" t="str">
        <f t="shared" si="28"/>
        <v>H360X354X16X24</v>
      </c>
      <c r="C67" s="43">
        <f>1*C45/VLOOKUP(B45,寬翼斷面尺寸!$A$2:'寬翼斷面尺寸'!$N$110,12,0)*SQRT($B$2/(PI())^2/$B$3)</f>
        <v>0.47680479340548432</v>
      </c>
      <c r="D67" s="2" t="str">
        <f t="shared" si="29"/>
        <v>OK</v>
      </c>
      <c r="E67" s="43">
        <f>VLOOKUP(B67,寬翼斷面尺寸!$A$2:'寬翼斷面尺寸'!$N$110,7,0)*0.658^(C67^2)*$B$2</f>
        <v>699.59987532956325</v>
      </c>
      <c r="F67" s="43">
        <f>$B$2*VLOOKUP(B67,寬翼斷面尺寸!$A$2:'寬翼斷面尺寸'!$N$110,8,0)</f>
        <v>11354.112000000001</v>
      </c>
      <c r="G67" s="2">
        <f t="shared" si="30"/>
        <v>0.85</v>
      </c>
      <c r="H67" s="2">
        <f t="shared" si="31"/>
        <v>0.9</v>
      </c>
    </row>
    <row r="68" spans="1:8" x14ac:dyDescent="0.25">
      <c r="A68" s="2" t="s">
        <v>10</v>
      </c>
      <c r="B68" s="2" t="str">
        <f t="shared" si="28"/>
        <v>H360X354X16X24</v>
      </c>
      <c r="C68" s="43">
        <f>1*C46/VLOOKUP(B46,寬翼斷面尺寸!$A$2:'寬翼斷面尺寸'!$N$110,12,0)*SQRT($B$2/(PI())^2/$B$3)</f>
        <v>0.47680479340548432</v>
      </c>
      <c r="D68" s="2" t="str">
        <f t="shared" si="29"/>
        <v>OK</v>
      </c>
      <c r="E68" s="43">
        <f>VLOOKUP(B68,寬翼斷面尺寸!$A$2:'寬翼斷面尺寸'!$N$110,7,0)*0.658^(C68^2)*$B$2</f>
        <v>699.59987532956325</v>
      </c>
      <c r="F68" s="43">
        <f>$B$2*VLOOKUP(B68,寬翼斷面尺寸!$A$2:'寬翼斷面尺寸'!$N$110,8,0)</f>
        <v>11354.112000000001</v>
      </c>
      <c r="G68" s="2">
        <f t="shared" si="30"/>
        <v>0.85</v>
      </c>
      <c r="H68" s="2">
        <f t="shared" si="31"/>
        <v>0.9</v>
      </c>
    </row>
    <row r="69" spans="1:8" x14ac:dyDescent="0.25">
      <c r="A69" s="50" t="s">
        <v>704</v>
      </c>
    </row>
    <row r="70" spans="1:8" x14ac:dyDescent="0.25">
      <c r="A70" s="42" t="s">
        <v>581</v>
      </c>
      <c r="B70" s="42" t="s">
        <v>704</v>
      </c>
      <c r="C70" s="42" t="s">
        <v>595</v>
      </c>
    </row>
    <row r="71" spans="1:8" x14ac:dyDescent="0.25">
      <c r="A71" s="2" t="s">
        <v>709</v>
      </c>
      <c r="B71" s="43">
        <f>H43/G65/E65/1.1+(8/9)*G43/H65/F65/1.1</f>
        <v>0.74012145552639319</v>
      </c>
      <c r="C71" s="2" t="str">
        <f>IF( B71&gt;1,"NG",IF(B71&lt;=1,"OK")   )</f>
        <v>OK</v>
      </c>
    </row>
    <row r="72" spans="1:8" x14ac:dyDescent="0.25">
      <c r="A72" s="2" t="s">
        <v>8</v>
      </c>
      <c r="B72" s="43">
        <f t="shared" ref="B72:B74" si="32">H44/G66/E66/1.1+(8/9)*G44/H66/F66/1.1</f>
        <v>0.74012145552639319</v>
      </c>
      <c r="C72" s="2" t="str">
        <f t="shared" ref="C72:C74" si="33">IF( B72&gt;1,"NG",IF(B72&lt;=1,"OK")   )</f>
        <v>OK</v>
      </c>
    </row>
    <row r="73" spans="1:8" x14ac:dyDescent="0.25">
      <c r="A73" s="2" t="s">
        <v>9</v>
      </c>
      <c r="B73" s="43">
        <f t="shared" si="32"/>
        <v>0.59277886040225414</v>
      </c>
      <c r="C73" s="2" t="str">
        <f t="shared" si="33"/>
        <v>OK</v>
      </c>
    </row>
    <row r="74" spans="1:8" x14ac:dyDescent="0.25">
      <c r="A74" s="2" t="s">
        <v>10</v>
      </c>
      <c r="B74" s="43">
        <f t="shared" si="32"/>
        <v>0.59277886040225414</v>
      </c>
      <c r="C74" s="2" t="str">
        <f t="shared" si="33"/>
        <v>OK</v>
      </c>
    </row>
    <row r="76" spans="1:8" x14ac:dyDescent="0.25">
      <c r="A76" s="75" t="s">
        <v>739</v>
      </c>
    </row>
    <row r="77" spans="1:8" x14ac:dyDescent="0.25">
      <c r="A77" s="50" t="s">
        <v>705</v>
      </c>
    </row>
    <row r="78" spans="1:8" x14ac:dyDescent="0.25">
      <c r="A78" s="42" t="s">
        <v>581</v>
      </c>
      <c r="B78" s="73" t="s">
        <v>714</v>
      </c>
      <c r="C78" s="42" t="s">
        <v>725</v>
      </c>
    </row>
    <row r="79" spans="1:8" x14ac:dyDescent="0.25">
      <c r="A79" s="2" t="s">
        <v>709</v>
      </c>
      <c r="B79" s="43">
        <f>1.1*$B$4*C14</f>
        <v>118.91880000000002</v>
      </c>
      <c r="C79" s="83">
        <f>B79-H35*SIN(F8)</f>
        <v>-29.729699999999994</v>
      </c>
      <c r="D79" s="1" t="s">
        <v>743</v>
      </c>
    </row>
    <row r="80" spans="1:8" x14ac:dyDescent="0.25">
      <c r="A80" s="2" t="s">
        <v>8</v>
      </c>
      <c r="B80" s="43">
        <f t="shared" ref="B80:B82" si="34">1.1*$B$4*C15</f>
        <v>118.91880000000002</v>
      </c>
      <c r="C80" s="43">
        <f>B79+B80-H36*SIN(F9)</f>
        <v>89.189100000000025</v>
      </c>
    </row>
    <row r="81" spans="1:6" x14ac:dyDescent="0.25">
      <c r="A81" s="2" t="s">
        <v>9</v>
      </c>
      <c r="B81" s="43">
        <f t="shared" si="34"/>
        <v>126.84672000000003</v>
      </c>
      <c r="C81" s="43">
        <f>B80+B81+B81-H37*SIN(F10)</f>
        <v>214.05384000000004</v>
      </c>
    </row>
    <row r="82" spans="1:6" x14ac:dyDescent="0.25">
      <c r="A82" s="2" t="s">
        <v>10</v>
      </c>
      <c r="B82" s="43">
        <f t="shared" si="34"/>
        <v>126.84672000000003</v>
      </c>
      <c r="C82" s="43">
        <f>B81+B82+B81+B82-H38*SIN(F11)</f>
        <v>348.82848000000013</v>
      </c>
    </row>
    <row r="83" spans="1:6" x14ac:dyDescent="0.25">
      <c r="A83" s="50" t="s">
        <v>729</v>
      </c>
      <c r="C83" s="112" t="s">
        <v>732</v>
      </c>
      <c r="D83" s="113"/>
    </row>
    <row r="84" spans="1:6" ht="19.5" x14ac:dyDescent="0.25">
      <c r="A84" s="42" t="s">
        <v>581</v>
      </c>
      <c r="B84" s="42" t="s">
        <v>711</v>
      </c>
      <c r="C84" s="45" t="s">
        <v>738</v>
      </c>
      <c r="D84" s="45" t="s">
        <v>733</v>
      </c>
      <c r="E84" s="45" t="s">
        <v>734</v>
      </c>
      <c r="F84" s="79" t="s">
        <v>736</v>
      </c>
    </row>
    <row r="85" spans="1:6" x14ac:dyDescent="0.25">
      <c r="A85" s="2" t="s">
        <v>709</v>
      </c>
      <c r="B85" s="80" t="s">
        <v>505</v>
      </c>
      <c r="C85" s="43">
        <f>1*400/VLOOKUP(B85,寬翼斷面尺寸!$A$2:'寬翼斷面尺寸'!$N$110,12,0)*SQRT($B$2/(PI())^2/$B$3)</f>
        <v>0.58077350125858407</v>
      </c>
      <c r="D85" s="2" t="str">
        <f>IF(C85&gt;1.5,"NG",IF(C85&lt;=1.5,"OK")   )</f>
        <v>OK</v>
      </c>
      <c r="E85" s="43">
        <f>VLOOKUP(B65,寬翼斷面尺寸!$A$2:'寬翼斷面尺寸'!$N$110,7,0)*0.658^(C85^2)*$B$2</f>
        <v>484.56641816521932</v>
      </c>
      <c r="F85" s="2">
        <f>0.85</f>
        <v>0.85</v>
      </c>
    </row>
    <row r="86" spans="1:6" x14ac:dyDescent="0.25">
      <c r="A86" s="2" t="s">
        <v>8</v>
      </c>
      <c r="B86" s="81" t="s">
        <v>505</v>
      </c>
      <c r="C86" s="43">
        <f>1*400/VLOOKUP(B86,寬翼斷面尺寸!$A$2:'寬翼斷面尺寸'!$N$110,12,0)*SQRT($B$2/(PI())^2/$B$3)</f>
        <v>0.58077350125858407</v>
      </c>
      <c r="D86" s="2" t="str">
        <f t="shared" ref="D86:D88" si="35">IF(C86&gt;1.5,"NG",IF(C86&lt;=1.5,"OK")   )</f>
        <v>OK</v>
      </c>
      <c r="E86" s="43">
        <f>VLOOKUP(B66,寬翼斷面尺寸!$A$2:'寬翼斷面尺寸'!$N$110,7,0)*0.658^(C86^2)*$B$2</f>
        <v>484.56641816521932</v>
      </c>
      <c r="F86" s="2">
        <f t="shared" ref="F86:F88" si="36">0.85</f>
        <v>0.85</v>
      </c>
    </row>
    <row r="87" spans="1:6" x14ac:dyDescent="0.25">
      <c r="A87" s="2" t="s">
        <v>9</v>
      </c>
      <c r="B87" s="81" t="s">
        <v>519</v>
      </c>
      <c r="C87" s="43">
        <f>1*400/VLOOKUP(B87,寬翼斷面尺寸!$A$2:'寬翼斷面尺寸'!$N$110,12,0)*SQRT($B$2/(PI())^2/$B$3)</f>
        <v>0.51103048203747981</v>
      </c>
      <c r="D87" s="2" t="str">
        <f t="shared" si="35"/>
        <v>OK</v>
      </c>
      <c r="E87" s="43">
        <f>VLOOKUP(B67,寬翼斷面尺寸!$A$2:'寬翼斷面尺寸'!$N$110,7,0)*0.658^(C87^2)*$B$2</f>
        <v>689.7696166056777</v>
      </c>
      <c r="F87" s="2">
        <f t="shared" si="36"/>
        <v>0.85</v>
      </c>
    </row>
    <row r="88" spans="1:6" x14ac:dyDescent="0.25">
      <c r="A88" s="2" t="s">
        <v>10</v>
      </c>
      <c r="B88" s="81" t="s">
        <v>519</v>
      </c>
      <c r="C88" s="43">
        <f>1*400/VLOOKUP(B88,寬翼斷面尺寸!$A$2:'寬翼斷面尺寸'!$N$110,12,0)*SQRT($B$2/(PI())^2/$B$3)</f>
        <v>0.51103048203747981</v>
      </c>
      <c r="D88" s="2" t="str">
        <f t="shared" si="35"/>
        <v>OK</v>
      </c>
      <c r="E88" s="43">
        <f>VLOOKUP(B68,寬翼斷面尺寸!$A$2:'寬翼斷面尺寸'!$N$110,7,0)*0.658^(C88^2)*$B$2</f>
        <v>689.7696166056777</v>
      </c>
      <c r="F88" s="2">
        <f t="shared" si="36"/>
        <v>0.85</v>
      </c>
    </row>
    <row r="89" spans="1:6" x14ac:dyDescent="0.25">
      <c r="A89" s="50" t="s">
        <v>704</v>
      </c>
    </row>
    <row r="90" spans="1:6" x14ac:dyDescent="0.25">
      <c r="A90" s="42" t="s">
        <v>581</v>
      </c>
      <c r="B90" s="42" t="s">
        <v>704</v>
      </c>
      <c r="C90" s="42" t="s">
        <v>595</v>
      </c>
    </row>
    <row r="91" spans="1:6" x14ac:dyDescent="0.25">
      <c r="A91" s="2" t="s">
        <v>709</v>
      </c>
      <c r="B91" s="43">
        <f>ABS(C79)/E85*F85</f>
        <v>5.2150219356273612E-2</v>
      </c>
      <c r="C91" s="2" t="str">
        <f>IF( B91&gt;1,"NG",IF(B91&lt;=1,"OK")   )</f>
        <v>OK</v>
      </c>
    </row>
    <row r="92" spans="1:6" x14ac:dyDescent="0.25">
      <c r="A92" s="2" t="s">
        <v>8</v>
      </c>
      <c r="B92" s="43">
        <f t="shared" ref="B92:B94" si="37">ABS(C80)/E86*F86</f>
        <v>0.15645065806882091</v>
      </c>
      <c r="C92" s="2" t="str">
        <f t="shared" ref="C92:C94" si="38">IF( B92&gt;1,"NG",IF(B92&lt;=1,"OK")   )</f>
        <v>OK</v>
      </c>
    </row>
    <row r="93" spans="1:6" x14ac:dyDescent="0.25">
      <c r="A93" s="2" t="s">
        <v>9</v>
      </c>
      <c r="B93" s="43">
        <f t="shared" si="37"/>
        <v>0.26377758547172053</v>
      </c>
      <c r="C93" s="2" t="str">
        <f t="shared" si="38"/>
        <v>OK</v>
      </c>
    </row>
    <row r="94" spans="1:6" x14ac:dyDescent="0.25">
      <c r="A94" s="2" t="s">
        <v>10</v>
      </c>
      <c r="B94" s="43">
        <f t="shared" si="37"/>
        <v>0.42985976891687794</v>
      </c>
      <c r="C94" s="2" t="str">
        <f t="shared" si="38"/>
        <v>OK</v>
      </c>
    </row>
    <row r="96" spans="1:6" x14ac:dyDescent="0.25">
      <c r="A96" s="107" t="s">
        <v>748</v>
      </c>
      <c r="B96" s="107"/>
      <c r="C96" s="107"/>
      <c r="D96" s="107"/>
      <c r="E96" s="107"/>
      <c r="F96" s="107"/>
    </row>
    <row r="97" spans="1:6" x14ac:dyDescent="0.25">
      <c r="A97" s="42" t="s">
        <v>581</v>
      </c>
      <c r="B97" s="42" t="s">
        <v>744</v>
      </c>
      <c r="C97" s="42" t="s">
        <v>746</v>
      </c>
      <c r="D97" s="42" t="s">
        <v>745</v>
      </c>
      <c r="E97" s="42" t="s">
        <v>746</v>
      </c>
      <c r="F97" s="42" t="s">
        <v>761</v>
      </c>
    </row>
    <row r="98" spans="1:6" x14ac:dyDescent="0.25">
      <c r="A98" s="2" t="s">
        <v>709</v>
      </c>
      <c r="B98" s="2" t="str">
        <f>B14</f>
        <v>H356X256X15X22</v>
      </c>
      <c r="C98" s="2">
        <f>VLOOKUP(B98,寬翼斷面尺寸!$A$2:'寬翼斷面尺寸'!$N$110,8,0)</f>
        <v>2246.1280000000002</v>
      </c>
      <c r="D98" s="2" t="str">
        <f>B85</f>
        <v>H368X356X18X28</v>
      </c>
      <c r="E98" s="2">
        <f>VLOOKUP(D98,寬翼斷面尺寸!$A$2:'寬翼斷面尺寸'!$N$110,8,0)</f>
        <v>3827.1680000000001</v>
      </c>
      <c r="F98" s="2" t="str">
        <f>IF( E98/C98&gt;=1.25,"OK",IF(E98/C98&lt;1.25,"NG"))</f>
        <v>OK</v>
      </c>
    </row>
    <row r="99" spans="1:6" x14ac:dyDescent="0.25">
      <c r="A99" s="2" t="s">
        <v>8</v>
      </c>
      <c r="B99" s="2" t="str">
        <f t="shared" ref="B99:B101" si="39">B15</f>
        <v>H356X256X15X22</v>
      </c>
      <c r="C99" s="2">
        <f>VLOOKUP(B99,寬翼斷面尺寸!$A$2:'寬翼斷面尺寸'!$N$110,8,0)</f>
        <v>2246.1280000000002</v>
      </c>
      <c r="D99" s="2" t="str">
        <f t="shared" ref="D99:D101" si="40">B86</f>
        <v>H368X356X18X28</v>
      </c>
      <c r="E99" s="2">
        <f>VLOOKUP(D99,寬翼斷面尺寸!$A$2:'寬翼斷面尺寸'!$N$110,8,0)</f>
        <v>3827.1680000000001</v>
      </c>
      <c r="F99" s="2" t="str">
        <f t="shared" ref="F99:F101" si="41">IF( E99/C99&gt;=1.25,"OK",IF(E99/C99&lt;1.25,"NG"))</f>
        <v>OK</v>
      </c>
    </row>
    <row r="100" spans="1:6" x14ac:dyDescent="0.25">
      <c r="A100" s="2" t="s">
        <v>9</v>
      </c>
      <c r="B100" s="2" t="str">
        <f t="shared" si="39"/>
        <v>H360X354X16X24</v>
      </c>
      <c r="C100" s="2">
        <f>VLOOKUP(B100,寬翼斷面尺寸!$A$2:'寬翼斷面尺寸'!$N$110,8,0)</f>
        <v>3244.0320000000002</v>
      </c>
      <c r="D100" s="2" t="str">
        <f t="shared" si="40"/>
        <v>H414X405X18X28</v>
      </c>
      <c r="E100" s="2">
        <f>VLOOKUP(D100,寬翼斷面尺寸!$A$2:'寬翼斷面尺寸'!$N$110,8,0)</f>
        <v>4953.9780000000001</v>
      </c>
      <c r="F100" s="2" t="str">
        <f t="shared" si="41"/>
        <v>OK</v>
      </c>
    </row>
    <row r="101" spans="1:6" x14ac:dyDescent="0.25">
      <c r="A101" s="2" t="s">
        <v>10</v>
      </c>
      <c r="B101" s="2" t="str">
        <f t="shared" si="39"/>
        <v>H360X354X16X24</v>
      </c>
      <c r="C101" s="2">
        <f>VLOOKUP(B101,寬翼斷面尺寸!$A$2:'寬翼斷面尺寸'!$N$110,8,0)</f>
        <v>3244.0320000000002</v>
      </c>
      <c r="D101" s="2" t="str">
        <f t="shared" si="40"/>
        <v>H414X405X18X28</v>
      </c>
      <c r="E101" s="2">
        <f>VLOOKUP(D101,寬翼斷面尺寸!$A$2:'寬翼斷面尺寸'!$N$110,8,0)</f>
        <v>4953.9780000000001</v>
      </c>
      <c r="F101" s="2" t="str">
        <f t="shared" si="41"/>
        <v>OK</v>
      </c>
    </row>
  </sheetData>
  <mergeCells count="6">
    <mergeCell ref="C63:D63"/>
    <mergeCell ref="C83:D83"/>
    <mergeCell ref="A96:F96"/>
    <mergeCell ref="H12:I12"/>
    <mergeCell ref="A25:C25"/>
    <mergeCell ref="C49:D49"/>
  </mergeCells>
  <phoneticPr fontId="1" type="noConversion"/>
  <dataValidations count="2">
    <dataValidation type="list" allowBlank="1" showInputMessage="1" showErrorMessage="1" sqref="B14:B17 B85:B88">
      <formula1>Section</formula1>
    </dataValidation>
    <dataValidation type="list" allowBlank="1" showInputMessage="1" showErrorMessage="1" sqref="B35:B38">
      <formula1>Section_box</formula1>
    </dataValidation>
  </dataValidations>
  <pageMargins left="0.7" right="0.7" top="0.75" bottom="0.75" header="0.3" footer="0.3"/>
  <pageSetup paperSize="9" orientation="portrait" r:id="rId1"/>
  <ignoredErrors>
    <ignoredError sqref="D98:D101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A30" zoomScaleNormal="100" workbookViewId="0">
      <selection activeCell="D48" sqref="D48"/>
    </sheetView>
  </sheetViews>
  <sheetFormatPr defaultRowHeight="16.5" x14ac:dyDescent="0.25"/>
  <cols>
    <col min="1" max="1" width="12" style="1" customWidth="1"/>
    <col min="2" max="2" width="18.25" style="1" customWidth="1"/>
    <col min="3" max="3" width="18.125" style="1" customWidth="1"/>
    <col min="4" max="4" width="18" style="1" customWidth="1"/>
    <col min="5" max="5" width="16.75" style="1" customWidth="1"/>
    <col min="6" max="6" width="19.25" style="1" customWidth="1"/>
    <col min="7" max="7" width="21.25" style="1" customWidth="1"/>
    <col min="8" max="8" width="22" style="1" customWidth="1"/>
    <col min="9" max="9" width="11.625" style="1" customWidth="1"/>
    <col min="10" max="10" width="10" style="1" customWidth="1"/>
    <col min="11" max="16384" width="9" style="1"/>
  </cols>
  <sheetData>
    <row r="1" spans="1:13" x14ac:dyDescent="0.25">
      <c r="A1" s="42" t="s">
        <v>590</v>
      </c>
      <c r="B1" s="2" t="s">
        <v>591</v>
      </c>
      <c r="C1" s="42" t="s">
        <v>593</v>
      </c>
    </row>
    <row r="2" spans="1:13" ht="19.5" x14ac:dyDescent="0.25">
      <c r="A2" s="2" t="s">
        <v>741</v>
      </c>
      <c r="B2" s="2">
        <v>3.5</v>
      </c>
      <c r="C2" s="2">
        <v>4</v>
      </c>
    </row>
    <row r="3" spans="1:13" ht="20.25" thickBot="1" x14ac:dyDescent="0.3">
      <c r="A3" s="2" t="s">
        <v>742</v>
      </c>
      <c r="B3" s="2">
        <v>2040</v>
      </c>
    </row>
    <row r="4" spans="1:13" ht="17.25" thickBot="1" x14ac:dyDescent="0.3">
      <c r="A4" s="70" t="s">
        <v>726</v>
      </c>
      <c r="B4" s="70">
        <v>1.1000000000000001</v>
      </c>
      <c r="G4" s="91" t="s">
        <v>771</v>
      </c>
      <c r="H4" s="64" t="s">
        <v>772</v>
      </c>
    </row>
    <row r="5" spans="1:13" x14ac:dyDescent="0.25">
      <c r="A5" s="84" t="s">
        <v>749</v>
      </c>
      <c r="B5" s="84">
        <v>1.35</v>
      </c>
    </row>
    <row r="6" spans="1:13" x14ac:dyDescent="0.25">
      <c r="A6" s="85" t="s">
        <v>756</v>
      </c>
      <c r="B6" s="2">
        <v>1.3</v>
      </c>
    </row>
    <row r="7" spans="1:13" x14ac:dyDescent="0.25">
      <c r="A7" s="85" t="s">
        <v>757</v>
      </c>
      <c r="B7" s="2">
        <v>1.1000000000000001</v>
      </c>
    </row>
    <row r="8" spans="1:13" x14ac:dyDescent="0.25">
      <c r="A8" s="87" t="s">
        <v>750</v>
      </c>
    </row>
    <row r="9" spans="1:13" x14ac:dyDescent="0.25">
      <c r="A9" s="115" t="s">
        <v>755</v>
      </c>
      <c r="B9" s="116"/>
    </row>
    <row r="10" spans="1:13" ht="19.5" x14ac:dyDescent="0.25">
      <c r="A10" s="42" t="s">
        <v>581</v>
      </c>
      <c r="B10" s="42" t="s">
        <v>700</v>
      </c>
      <c r="C10" s="42" t="s">
        <v>751</v>
      </c>
      <c r="D10" s="42" t="s">
        <v>752</v>
      </c>
      <c r="E10" s="79" t="s">
        <v>753</v>
      </c>
      <c r="F10" s="42" t="s">
        <v>754</v>
      </c>
      <c r="G10" s="88" t="s">
        <v>764</v>
      </c>
      <c r="H10" s="42" t="s">
        <v>759</v>
      </c>
      <c r="I10" s="42" t="s">
        <v>758</v>
      </c>
      <c r="J10" s="77" t="s">
        <v>760</v>
      </c>
      <c r="K10" s="42" t="s">
        <v>704</v>
      </c>
      <c r="L10" s="42" t="s">
        <v>595</v>
      </c>
      <c r="M10" s="42" t="s">
        <v>765</v>
      </c>
    </row>
    <row r="11" spans="1:13" x14ac:dyDescent="0.25">
      <c r="A11" s="2" t="s">
        <v>709</v>
      </c>
      <c r="B11" s="43">
        <f>地震力計算!G68/BRBF設計!$C$2/2</f>
        <v>32.79654570207267</v>
      </c>
      <c r="C11" s="2">
        <v>400</v>
      </c>
      <c r="D11" s="43">
        <f>SQRT(C11^2+400^2)</f>
        <v>565.68542494923804</v>
      </c>
      <c r="E11" s="43">
        <f>ATAN(C11/400)</f>
        <v>0.78539816339744828</v>
      </c>
      <c r="F11" s="43">
        <f>B11/COS(E11)</f>
        <v>46.381319730860206</v>
      </c>
      <c r="G11" s="43">
        <f>F11/$B$2/0.9</f>
        <v>14.724228485987366</v>
      </c>
      <c r="H11" s="90">
        <v>60</v>
      </c>
      <c r="I11" s="89">
        <f>H11^2/100</f>
        <v>36</v>
      </c>
      <c r="J11" s="43">
        <f>0.9*$B$2*I11</f>
        <v>113.39999999999999</v>
      </c>
      <c r="K11" s="43">
        <f>F11/J11</f>
        <v>0.40900634683298243</v>
      </c>
      <c r="L11" s="2" t="str">
        <f>IF( K11&gt;1,"NG",IF(K11&lt;=1,"OK")   )</f>
        <v>OK</v>
      </c>
      <c r="M11" s="43">
        <f>$B$5*$B$3*I11/D11</f>
        <v>175.26348678489765</v>
      </c>
    </row>
    <row r="12" spans="1:13" x14ac:dyDescent="0.25">
      <c r="A12" s="2" t="s">
        <v>8</v>
      </c>
      <c r="B12" s="43">
        <f>地震力計算!G69/BRBF設計!$C$2/2</f>
        <v>59.268510946274418</v>
      </c>
      <c r="C12" s="2">
        <v>400</v>
      </c>
      <c r="D12" s="43">
        <f t="shared" ref="D12:D14" si="0">SQRT(C12^2+400^2)</f>
        <v>565.68542494923804</v>
      </c>
      <c r="E12" s="43">
        <f t="shared" ref="E12:E14" si="1">ATAN(C12/400)</f>
        <v>0.78539816339744828</v>
      </c>
      <c r="F12" s="43">
        <f t="shared" ref="F12:F14" si="2">B12/COS(E12)</f>
        <v>83.818332001879511</v>
      </c>
      <c r="G12" s="43">
        <f t="shared" ref="G12:G14" si="3">F12/$B$2/0.9</f>
        <v>26.608994286310953</v>
      </c>
      <c r="H12" s="90">
        <v>60</v>
      </c>
      <c r="I12" s="89">
        <f>H12^2/100</f>
        <v>36</v>
      </c>
      <c r="J12" s="43">
        <f t="shared" ref="J12:J14" si="4">0.9*$B$2*I12</f>
        <v>113.39999999999999</v>
      </c>
      <c r="K12" s="43">
        <f t="shared" ref="K12:K14" si="5">F12/J12</f>
        <v>0.7391387301753044</v>
      </c>
      <c r="L12" s="2" t="str">
        <f t="shared" ref="L12:L14" si="6">IF( K12&gt;1,"NG",IF(K12&lt;=1,"OK")   )</f>
        <v>OK</v>
      </c>
      <c r="M12" s="43">
        <f t="shared" ref="M12:M14" si="7">$B$5*$B$3*I12/D12</f>
        <v>175.26348678489765</v>
      </c>
    </row>
    <row r="13" spans="1:13" x14ac:dyDescent="0.25">
      <c r="A13" s="2" t="s">
        <v>9</v>
      </c>
      <c r="B13" s="43">
        <f>地震力計算!G70/BRBF設計!$C$2/2</f>
        <v>76.91648777574224</v>
      </c>
      <c r="C13" s="2">
        <v>400</v>
      </c>
      <c r="D13" s="43">
        <f t="shared" si="0"/>
        <v>565.68542494923804</v>
      </c>
      <c r="E13" s="43">
        <f t="shared" si="1"/>
        <v>0.78539816339744828</v>
      </c>
      <c r="F13" s="43">
        <f t="shared" si="2"/>
        <v>108.77634018255904</v>
      </c>
      <c r="G13" s="43">
        <f t="shared" si="3"/>
        <v>34.532171486526678</v>
      </c>
      <c r="H13" s="90">
        <v>70</v>
      </c>
      <c r="I13" s="89">
        <f>H13^2/100</f>
        <v>49</v>
      </c>
      <c r="J13" s="43">
        <f t="shared" si="4"/>
        <v>154.35</v>
      </c>
      <c r="K13" s="43">
        <f t="shared" si="5"/>
        <v>0.70473819360258527</v>
      </c>
      <c r="L13" s="2" t="str">
        <f t="shared" si="6"/>
        <v>OK</v>
      </c>
      <c r="M13" s="43">
        <f t="shared" si="7"/>
        <v>238.55307923499959</v>
      </c>
    </row>
    <row r="14" spans="1:13" x14ac:dyDescent="0.25">
      <c r="A14" s="2" t="s">
        <v>10</v>
      </c>
      <c r="B14" s="43">
        <f>地震力計算!G71/BRBF設計!$C$2/2</f>
        <v>85.740476190476159</v>
      </c>
      <c r="C14" s="2">
        <v>400</v>
      </c>
      <c r="D14" s="43">
        <f t="shared" si="0"/>
        <v>565.68542494923804</v>
      </c>
      <c r="E14" s="43">
        <f t="shared" si="1"/>
        <v>0.78539816339744828</v>
      </c>
      <c r="F14" s="43">
        <f t="shared" si="2"/>
        <v>121.25534427289882</v>
      </c>
      <c r="G14" s="43">
        <f t="shared" si="3"/>
        <v>38.493760086634545</v>
      </c>
      <c r="H14" s="90">
        <v>70</v>
      </c>
      <c r="I14" s="89">
        <f>H14^2/100</f>
        <v>49</v>
      </c>
      <c r="J14" s="43">
        <f t="shared" si="4"/>
        <v>154.35</v>
      </c>
      <c r="K14" s="43">
        <f t="shared" si="5"/>
        <v>0.78558694054356226</v>
      </c>
      <c r="L14" s="2" t="str">
        <f t="shared" si="6"/>
        <v>OK</v>
      </c>
      <c r="M14" s="43">
        <f t="shared" si="7"/>
        <v>238.55307923499959</v>
      </c>
    </row>
    <row r="16" spans="1:13" x14ac:dyDescent="0.25">
      <c r="A16" s="92" t="s">
        <v>773</v>
      </c>
    </row>
    <row r="17" spans="1:8" x14ac:dyDescent="0.25">
      <c r="A17" s="50" t="s">
        <v>705</v>
      </c>
    </row>
    <row r="18" spans="1:8" ht="19.5" x14ac:dyDescent="0.25">
      <c r="A18" s="42" t="s">
        <v>581</v>
      </c>
      <c r="B18" s="45" t="s">
        <v>766</v>
      </c>
      <c r="C18" s="45" t="s">
        <v>767</v>
      </c>
      <c r="D18" s="42" t="s">
        <v>768</v>
      </c>
      <c r="E18" s="42" t="s">
        <v>769</v>
      </c>
      <c r="F18" s="42" t="s">
        <v>770</v>
      </c>
    </row>
    <row r="19" spans="1:8" x14ac:dyDescent="0.25">
      <c r="A19" s="78" t="s">
        <v>709</v>
      </c>
      <c r="B19" s="43">
        <f>$B$6*$B$4*I11*$B$2</f>
        <v>180.18</v>
      </c>
      <c r="C19" s="43">
        <f>B19*$B$7</f>
        <v>198.19800000000004</v>
      </c>
      <c r="D19" s="43">
        <f>(B19+C19)*COS(E11)/2</f>
        <v>133.77682482590177</v>
      </c>
      <c r="E19" s="43">
        <f>(C19-B19)*SIN(E11)/2</f>
        <v>6.3703249917096167</v>
      </c>
      <c r="F19" s="43">
        <f>E19*400</f>
        <v>2548.1299966838469</v>
      </c>
    </row>
    <row r="20" spans="1:8" x14ac:dyDescent="0.25">
      <c r="A20" s="78" t="s">
        <v>8</v>
      </c>
      <c r="B20" s="43">
        <f t="shared" ref="B20:B22" si="8">$B$6*$B$4*I12*$B$2</f>
        <v>180.18</v>
      </c>
      <c r="C20" s="43">
        <f t="shared" ref="C20:C22" si="9">B20*$B$7</f>
        <v>198.19800000000004</v>
      </c>
      <c r="D20" s="43">
        <f t="shared" ref="D20:D22" si="10">(B20+C20)*COS(E12)/2</f>
        <v>133.77682482590177</v>
      </c>
      <c r="E20" s="43">
        <f t="shared" ref="E20:E22" si="11">(C20-B20)*SIN(E12)/2</f>
        <v>6.3703249917096167</v>
      </c>
      <c r="F20" s="43">
        <f t="shared" ref="F20:F22" si="12">E20*400</f>
        <v>2548.1299966838469</v>
      </c>
    </row>
    <row r="21" spans="1:8" x14ac:dyDescent="0.25">
      <c r="A21" s="78" t="s">
        <v>9</v>
      </c>
      <c r="B21" s="43">
        <f t="shared" si="8"/>
        <v>245.24500000000003</v>
      </c>
      <c r="C21" s="43">
        <f t="shared" si="9"/>
        <v>269.76950000000005</v>
      </c>
      <c r="D21" s="43">
        <f t="shared" si="10"/>
        <v>182.08512267969965</v>
      </c>
      <c r="E21" s="43">
        <f t="shared" si="11"/>
        <v>8.6707201276047474</v>
      </c>
      <c r="F21" s="43">
        <f t="shared" si="12"/>
        <v>3468.2880510418991</v>
      </c>
    </row>
    <row r="22" spans="1:8" x14ac:dyDescent="0.25">
      <c r="A22" s="78" t="s">
        <v>10</v>
      </c>
      <c r="B22" s="43">
        <f t="shared" si="8"/>
        <v>245.24500000000003</v>
      </c>
      <c r="C22" s="43">
        <f t="shared" si="9"/>
        <v>269.76950000000005</v>
      </c>
      <c r="D22" s="43">
        <f t="shared" si="10"/>
        <v>182.08512267969965</v>
      </c>
      <c r="E22" s="43">
        <f t="shared" si="11"/>
        <v>8.6707201276047474</v>
      </c>
      <c r="F22" s="43">
        <f t="shared" si="12"/>
        <v>3468.2880510418991</v>
      </c>
    </row>
    <row r="23" spans="1:8" x14ac:dyDescent="0.25">
      <c r="A23" s="86" t="s">
        <v>729</v>
      </c>
      <c r="C23" s="107" t="s">
        <v>732</v>
      </c>
      <c r="D23" s="107"/>
    </row>
    <row r="24" spans="1:8" ht="19.5" x14ac:dyDescent="0.25">
      <c r="A24" s="77" t="s">
        <v>581</v>
      </c>
      <c r="B24" s="88" t="s">
        <v>774</v>
      </c>
      <c r="C24" s="42" t="s">
        <v>738</v>
      </c>
      <c r="D24" s="42" t="s">
        <v>733</v>
      </c>
      <c r="E24" s="42" t="s">
        <v>734</v>
      </c>
      <c r="F24" s="42" t="s">
        <v>735</v>
      </c>
      <c r="G24" s="79" t="s">
        <v>736</v>
      </c>
      <c r="H24" s="79" t="s">
        <v>737</v>
      </c>
    </row>
    <row r="25" spans="1:8" x14ac:dyDescent="0.25">
      <c r="A25" s="78" t="s">
        <v>709</v>
      </c>
      <c r="B25" s="80" t="s">
        <v>496</v>
      </c>
      <c r="C25" s="43">
        <f>1*400/VLOOKUP(B25,寬翼斷面尺寸!$A$2:'寬翼斷面尺寸'!$N$110,12,0)*SQRT($B$2/(PI())^2/$B$3)</f>
        <v>0.84466422190914403</v>
      </c>
      <c r="D25" s="2" t="str">
        <f>IF(C25&gt;1.5,"NG",IF(C25&lt;=1.5,"OK")   )</f>
        <v>OK</v>
      </c>
      <c r="E25" s="43">
        <f>VLOOKUP(B25,寬翼斷面尺寸!$A$2:'寬翼斷面尺寸'!$N$110,7,0)*0.658^(C25^2)*$B$2</f>
        <v>337.74618038678426</v>
      </c>
      <c r="F25" s="43">
        <f>$B$2*VLOOKUP(B25,寬翼斷面尺寸!$A$2:'寬翼斷面尺寸'!$N$110,8,0)</f>
        <v>6483.8339999999998</v>
      </c>
      <c r="G25" s="2">
        <f>0.85</f>
        <v>0.85</v>
      </c>
      <c r="H25" s="2">
        <f>0.9</f>
        <v>0.9</v>
      </c>
    </row>
    <row r="26" spans="1:8" x14ac:dyDescent="0.25">
      <c r="A26" s="78" t="s">
        <v>8</v>
      </c>
      <c r="B26" s="81" t="s">
        <v>496</v>
      </c>
      <c r="C26" s="43">
        <f>1*400/VLOOKUP(B26,寬翼斷面尺寸!$A$2:'寬翼斷面尺寸'!$N$110,12,0)*SQRT($B$2/(PI())^2/$B$3)</f>
        <v>0.84466422190914403</v>
      </c>
      <c r="D26" s="2" t="str">
        <f t="shared" ref="D26:D28" si="13">IF(C26&gt;1.5,"NG",IF(C26&lt;=1.5,"OK")   )</f>
        <v>OK</v>
      </c>
      <c r="E26" s="43">
        <f>VLOOKUP(B26,寬翼斷面尺寸!$A$2:'寬翼斷面尺寸'!$N$110,7,0)*0.658^(C26^2)*$B$2</f>
        <v>337.74618038678426</v>
      </c>
      <c r="F26" s="43">
        <f>$B$2*VLOOKUP(B26,寬翼斷面尺寸!$A$2:'寬翼斷面尺寸'!$N$110,8,0)</f>
        <v>6483.8339999999998</v>
      </c>
      <c r="G26" s="2">
        <f t="shared" ref="G26:G28" si="14">0.85</f>
        <v>0.85</v>
      </c>
      <c r="H26" s="2">
        <f t="shared" ref="H26:H28" si="15">0.9</f>
        <v>0.9</v>
      </c>
    </row>
    <row r="27" spans="1:8" x14ac:dyDescent="0.25">
      <c r="A27" s="78" t="s">
        <v>9</v>
      </c>
      <c r="B27" s="81" t="s">
        <v>504</v>
      </c>
      <c r="C27" s="43">
        <f>1*400/VLOOKUP(B27,寬翼斷面尺寸!$A$2:'寬翼斷面尺寸'!$N$110,12,0)*SQRT($B$2/(PI())^2/$B$3)</f>
        <v>0.58683666880675001</v>
      </c>
      <c r="D27" s="2" t="str">
        <f t="shared" si="13"/>
        <v>OK</v>
      </c>
      <c r="E27" s="43">
        <f>VLOOKUP(B27,寬翼斷面尺寸!$A$2:'寬翼斷面尺寸'!$N$110,7,0)*0.658^(C27^2)*$B$2</f>
        <v>666.15591449792487</v>
      </c>
      <c r="F27" s="43">
        <f>$B$2*VLOOKUP(B27,寬翼斷面尺寸!$A$2:'寬翼斷面尺寸'!$N$110,8,0)</f>
        <v>11354.112000000001</v>
      </c>
      <c r="G27" s="2">
        <f t="shared" si="14"/>
        <v>0.85</v>
      </c>
      <c r="H27" s="2">
        <f t="shared" si="15"/>
        <v>0.9</v>
      </c>
    </row>
    <row r="28" spans="1:8" x14ac:dyDescent="0.25">
      <c r="A28" s="78" t="s">
        <v>10</v>
      </c>
      <c r="B28" s="81" t="s">
        <v>504</v>
      </c>
      <c r="C28" s="43">
        <f>1*400/VLOOKUP(B28,寬翼斷面尺寸!$A$2:'寬翼斷面尺寸'!$N$110,12,0)*SQRT($B$2/(PI())^2/$B$3)</f>
        <v>0.58683666880675001</v>
      </c>
      <c r="D28" s="2" t="str">
        <f t="shared" si="13"/>
        <v>OK</v>
      </c>
      <c r="E28" s="43">
        <f>VLOOKUP(B28,寬翼斷面尺寸!$A$2:'寬翼斷面尺寸'!$N$110,7,0)*0.658^(C28^2)*$B$2</f>
        <v>666.15591449792487</v>
      </c>
      <c r="F28" s="43">
        <f>$B$2*VLOOKUP(B28,寬翼斷面尺寸!$A$2:'寬翼斷面尺寸'!$N$110,8,0)</f>
        <v>11354.112000000001</v>
      </c>
      <c r="G28" s="2">
        <f t="shared" si="14"/>
        <v>0.85</v>
      </c>
      <c r="H28" s="2">
        <f t="shared" si="15"/>
        <v>0.9</v>
      </c>
    </row>
    <row r="29" spans="1:8" x14ac:dyDescent="0.25">
      <c r="A29" s="50" t="s">
        <v>704</v>
      </c>
    </row>
    <row r="30" spans="1:8" x14ac:dyDescent="0.25">
      <c r="A30" s="42" t="s">
        <v>581</v>
      </c>
      <c r="B30" s="42" t="s">
        <v>704</v>
      </c>
      <c r="C30" s="42" t="s">
        <v>595</v>
      </c>
    </row>
    <row r="31" spans="1:8" x14ac:dyDescent="0.25">
      <c r="A31" s="2" t="s">
        <v>709</v>
      </c>
      <c r="B31" s="43">
        <f>D19/E25/G25+(8/9)*F19/F25/H25</f>
        <v>0.85413013818228778</v>
      </c>
      <c r="C31" s="2" t="str">
        <f>IF( B31&gt;1,"NG",IF(B31&lt;=1,"OK")   )</f>
        <v>OK</v>
      </c>
    </row>
    <row r="32" spans="1:8" x14ac:dyDescent="0.25">
      <c r="A32" s="2" t="s">
        <v>8</v>
      </c>
      <c r="B32" s="43">
        <f t="shared" ref="B32:B34" si="16">D20/E26/G26+(8/9)*F20/F26/H26</f>
        <v>0.85413013818228778</v>
      </c>
      <c r="C32" s="2" t="str">
        <f t="shared" ref="C32:C34" si="17">IF( B32&gt;1,"NG",IF(B32&lt;=1,"OK")   )</f>
        <v>OK</v>
      </c>
    </row>
    <row r="33" spans="1:8" x14ac:dyDescent="0.25">
      <c r="A33" s="2" t="s">
        <v>9</v>
      </c>
      <c r="B33" s="43">
        <f t="shared" si="16"/>
        <v>0.623267248306418</v>
      </c>
      <c r="C33" s="2" t="str">
        <f t="shared" si="17"/>
        <v>OK</v>
      </c>
    </row>
    <row r="34" spans="1:8" x14ac:dyDescent="0.25">
      <c r="A34" s="2" t="s">
        <v>10</v>
      </c>
      <c r="B34" s="43">
        <f t="shared" si="16"/>
        <v>0.623267248306418</v>
      </c>
      <c r="C34" s="2" t="str">
        <f t="shared" si="17"/>
        <v>OK</v>
      </c>
    </row>
    <row r="36" spans="1:8" x14ac:dyDescent="0.25">
      <c r="A36" s="75" t="s">
        <v>739</v>
      </c>
    </row>
    <row r="37" spans="1:8" x14ac:dyDescent="0.25">
      <c r="A37" s="50" t="s">
        <v>705</v>
      </c>
    </row>
    <row r="38" spans="1:8" x14ac:dyDescent="0.25">
      <c r="A38" s="42" t="s">
        <v>581</v>
      </c>
      <c r="B38" s="42" t="s">
        <v>714</v>
      </c>
      <c r="C38" s="42" t="s">
        <v>780</v>
      </c>
      <c r="D38" s="42" t="s">
        <v>781</v>
      </c>
    </row>
    <row r="39" spans="1:8" x14ac:dyDescent="0.25">
      <c r="A39" s="2" t="s">
        <v>709</v>
      </c>
      <c r="B39" s="43">
        <f>E19</f>
        <v>6.3703249917096167</v>
      </c>
      <c r="C39" s="43">
        <f>B39</f>
        <v>6.3703249917096167</v>
      </c>
      <c r="D39" s="83">
        <f>-B39</f>
        <v>-6.3703249917096167</v>
      </c>
    </row>
    <row r="40" spans="1:8" x14ac:dyDescent="0.25">
      <c r="A40" s="2" t="s">
        <v>8</v>
      </c>
      <c r="B40" s="43">
        <f t="shared" ref="B40:B42" si="18">E20</f>
        <v>6.3703249917096167</v>
      </c>
      <c r="C40" s="43">
        <f>B39+B40+B19*COS(E11)</f>
        <v>140.14714981761139</v>
      </c>
      <c r="D40" s="43">
        <f>-(B39+B40)+C19*COS(E11)</f>
        <v>127.40649983419216</v>
      </c>
    </row>
    <row r="41" spans="1:8" x14ac:dyDescent="0.25">
      <c r="A41" s="2" t="s">
        <v>9</v>
      </c>
      <c r="B41" s="43">
        <f t="shared" si="18"/>
        <v>8.6707201276047474</v>
      </c>
      <c r="C41" s="43">
        <f>B39+B40+B41+B19*COS(E11)+B20*COS(E11)</f>
        <v>276.22436977940828</v>
      </c>
      <c r="D41" s="43">
        <f>-(B39+B40+B41)+C19*COS(E11)+C20*COS(E12)</f>
        <v>258.8829295241988</v>
      </c>
    </row>
    <row r="42" spans="1:8" x14ac:dyDescent="0.25">
      <c r="A42" s="2" t="s">
        <v>10</v>
      </c>
      <c r="B42" s="43">
        <f t="shared" si="18"/>
        <v>8.6707201276047474</v>
      </c>
      <c r="C42" s="43">
        <f>B39+B40+B41+B42+B19*COS(E11)+B20*COS(E11)+B21*COS(E11)</f>
        <v>458.3094924591079</v>
      </c>
      <c r="D42" s="43">
        <f>-(B39+B40+B41+B42)+C19*COS(E11)+C20*COS(E12)+C21*COS(E13)</f>
        <v>440.96805220389842</v>
      </c>
    </row>
    <row r="43" spans="1:8" x14ac:dyDescent="0.25">
      <c r="A43" s="50" t="s">
        <v>729</v>
      </c>
      <c r="C43" s="107" t="s">
        <v>732</v>
      </c>
      <c r="D43" s="107"/>
    </row>
    <row r="44" spans="1:8" ht="19.5" x14ac:dyDescent="0.25">
      <c r="A44" s="42" t="s">
        <v>581</v>
      </c>
      <c r="B44" s="42" t="s">
        <v>711</v>
      </c>
      <c r="C44" s="45" t="s">
        <v>738</v>
      </c>
      <c r="D44" s="45" t="s">
        <v>733</v>
      </c>
      <c r="E44" s="45" t="s">
        <v>775</v>
      </c>
      <c r="F44" s="79" t="s">
        <v>736</v>
      </c>
      <c r="G44" s="42" t="s">
        <v>776</v>
      </c>
      <c r="H44" s="79" t="s">
        <v>777</v>
      </c>
    </row>
    <row r="45" spans="1:8" x14ac:dyDescent="0.25">
      <c r="A45" s="2" t="s">
        <v>709</v>
      </c>
      <c r="B45" s="80" t="s">
        <v>505</v>
      </c>
      <c r="C45" s="43">
        <f>1*400/VLOOKUP(B45,寬翼斷面尺寸!$A$2:'寬翼斷面尺寸'!$N$110,12,0)*SQRT($B$2/(PI())^2/$B$3)</f>
        <v>0.58077350125858407</v>
      </c>
      <c r="D45" s="2" t="str">
        <f>IF(C45&gt;1.5,"NG",IF(C45&lt;=1.5,"OK")   )</f>
        <v>OK</v>
      </c>
      <c r="E45" s="43">
        <f>VLOOKUP(B25,寬翼斷面尺寸!$A$2:'寬翼斷面尺寸'!$N$110,7,0)*0.658^(C45^2)*$B$2</f>
        <v>395.33617457935105</v>
      </c>
      <c r="F45" s="2">
        <f>0.85</f>
        <v>0.85</v>
      </c>
      <c r="G45" s="2">
        <f>$B$2*VLOOKUP(B25,寬翼斷面尺寸!$A$2:'寬翼斷面尺寸'!$N$110,7,0)</f>
        <v>455.28000000000003</v>
      </c>
      <c r="H45" s="2">
        <v>0.9</v>
      </c>
    </row>
    <row r="46" spans="1:8" x14ac:dyDescent="0.25">
      <c r="A46" s="2" t="s">
        <v>8</v>
      </c>
      <c r="B46" s="81" t="s">
        <v>505</v>
      </c>
      <c r="C46" s="43">
        <f>1*400/VLOOKUP(B46,寬翼斷面尺寸!$A$2:'寬翼斷面尺寸'!$N$110,12,0)*SQRT($B$2/(PI())^2/$B$3)</f>
        <v>0.58077350125858407</v>
      </c>
      <c r="D46" s="2" t="str">
        <f t="shared" ref="D46:D48" si="19">IF(C46&gt;1.5,"NG",IF(C46&lt;=1.5,"OK")   )</f>
        <v>OK</v>
      </c>
      <c r="E46" s="43">
        <f>VLOOKUP(B26,寬翼斷面尺寸!$A$2:'寬翼斷面尺寸'!$N$110,7,0)*0.658^(C46^2)*$B$2</f>
        <v>395.33617457935105</v>
      </c>
      <c r="F46" s="2">
        <f t="shared" ref="F46:F48" si="20">0.85</f>
        <v>0.85</v>
      </c>
      <c r="G46" s="2">
        <f>$B$2*VLOOKUP(B26,寬翼斷面尺寸!$A$2:'寬翼斷面尺寸'!$N$110,7,0)</f>
        <v>455.28000000000003</v>
      </c>
      <c r="H46" s="2">
        <v>0.9</v>
      </c>
    </row>
    <row r="47" spans="1:8" x14ac:dyDescent="0.25">
      <c r="A47" s="2" t="s">
        <v>9</v>
      </c>
      <c r="B47" s="81" t="s">
        <v>747</v>
      </c>
      <c r="C47" s="43">
        <f>1*400/VLOOKUP(B47,寬翼斷面尺寸!$A$2:'寬翼斷面尺寸'!$N$110,12,0)*SQRT($B$2/(PI())^2/$B$3)</f>
        <v>0.57351837501205005</v>
      </c>
      <c r="D47" s="2" t="str">
        <f t="shared" si="19"/>
        <v>OK</v>
      </c>
      <c r="E47" s="43">
        <f>VLOOKUP(B27,寬翼斷面尺寸!$A$2:'寬翼斷面尺寸'!$N$110,7,0)*0.658^(C47^2)*$B$2</f>
        <v>670.4787469340863</v>
      </c>
      <c r="F47" s="2">
        <f t="shared" si="20"/>
        <v>0.85</v>
      </c>
      <c r="G47" s="2">
        <f>$B$2*VLOOKUP(B27,寬翼斷面尺寸!$A$2:'寬翼斷面尺寸'!$N$110,7,0)</f>
        <v>769.44</v>
      </c>
      <c r="H47" s="2">
        <v>0.9</v>
      </c>
    </row>
    <row r="48" spans="1:8" x14ac:dyDescent="0.25">
      <c r="A48" s="2" t="s">
        <v>10</v>
      </c>
      <c r="B48" s="81" t="s">
        <v>747</v>
      </c>
      <c r="C48" s="43">
        <f>1*400/VLOOKUP(B48,寬翼斷面尺寸!$A$2:'寬翼斷面尺寸'!$N$110,12,0)*SQRT($B$2/(PI())^2/$B$3)</f>
        <v>0.57351837501205005</v>
      </c>
      <c r="D48" s="2" t="str">
        <f t="shared" si="19"/>
        <v>OK</v>
      </c>
      <c r="E48" s="43">
        <f>VLOOKUP(B28,寬翼斷面尺寸!$A$2:'寬翼斷面尺寸'!$N$110,7,0)*0.658^(C48^2)*$B$2</f>
        <v>670.4787469340863</v>
      </c>
      <c r="F48" s="2">
        <f t="shared" si="20"/>
        <v>0.85</v>
      </c>
      <c r="G48" s="2">
        <f>$B$2*VLOOKUP(B28,寬翼斷面尺寸!$A$2:'寬翼斷面尺寸'!$N$110,7,0)</f>
        <v>769.44</v>
      </c>
      <c r="H48" s="2">
        <v>0.9</v>
      </c>
    </row>
    <row r="49" spans="1:6" x14ac:dyDescent="0.25">
      <c r="A49" s="50" t="s">
        <v>704</v>
      </c>
    </row>
    <row r="50" spans="1:6" x14ac:dyDescent="0.25">
      <c r="A50" s="42" t="s">
        <v>581</v>
      </c>
      <c r="B50" s="42" t="s">
        <v>778</v>
      </c>
      <c r="C50" s="42" t="s">
        <v>595</v>
      </c>
      <c r="D50" s="42" t="s">
        <v>779</v>
      </c>
      <c r="E50" s="42" t="s">
        <v>595</v>
      </c>
    </row>
    <row r="51" spans="1:6" x14ac:dyDescent="0.25">
      <c r="A51" s="2" t="s">
        <v>709</v>
      </c>
      <c r="B51" s="43">
        <f>ABS(C39)/G45*F45</f>
        <v>1.1893288180796815E-2</v>
      </c>
      <c r="C51" s="2" t="str">
        <f>IF( B51&gt;1,"NG",IF(B51&lt;=1,"OK")   )</f>
        <v>OK</v>
      </c>
      <c r="D51" s="43">
        <f>ABS(D39)/E45/F45</f>
        <v>1.8957283628853266E-2</v>
      </c>
      <c r="E51" s="2" t="str">
        <f>IF( D51&gt;1,"NG",IF(D51&lt;=1,"OK")   )</f>
        <v>OK</v>
      </c>
    </row>
    <row r="52" spans="1:6" x14ac:dyDescent="0.25">
      <c r="A52" s="2" t="s">
        <v>8</v>
      </c>
      <c r="B52" s="43">
        <f t="shared" ref="B52:B54" si="21">ABS(C40)/G46*F46</f>
        <v>0.26165233997752957</v>
      </c>
      <c r="C52" s="2" t="str">
        <f t="shared" ref="C52:C54" si="22">IF( B52&gt;1,"NG",IF(B52&lt;=1,"OK")   )</f>
        <v>OK</v>
      </c>
      <c r="D52" s="43">
        <f t="shared" ref="D52:D54" si="23">ABS(D40)/E46/F46</f>
        <v>0.37914567257706477</v>
      </c>
      <c r="E52" s="2" t="str">
        <f t="shared" ref="E52:E54" si="24">IF( D52&gt;1,"NG",IF(D52&lt;=1,"OK")   )</f>
        <v>OK</v>
      </c>
    </row>
    <row r="53" spans="1:6" x14ac:dyDescent="0.25">
      <c r="A53" s="2" t="s">
        <v>9</v>
      </c>
      <c r="B53" s="43">
        <f t="shared" si="21"/>
        <v>0.30514492918550767</v>
      </c>
      <c r="C53" s="2" t="str">
        <f t="shared" si="22"/>
        <v>OK</v>
      </c>
      <c r="D53" s="43">
        <f t="shared" si="23"/>
        <v>0.45425474524601445</v>
      </c>
      <c r="E53" s="2" t="str">
        <f t="shared" si="24"/>
        <v>OK</v>
      </c>
    </row>
    <row r="54" spans="1:6" x14ac:dyDescent="0.25">
      <c r="A54" s="2" t="s">
        <v>10</v>
      </c>
      <c r="B54" s="43">
        <f t="shared" si="21"/>
        <v>0.50629427712393649</v>
      </c>
      <c r="C54" s="2" t="str">
        <f t="shared" si="22"/>
        <v>OK</v>
      </c>
      <c r="D54" s="43">
        <f t="shared" si="23"/>
        <v>0.7737544942946466</v>
      </c>
      <c r="E54" s="2" t="str">
        <f t="shared" si="24"/>
        <v>OK</v>
      </c>
    </row>
    <row r="56" spans="1:6" x14ac:dyDescent="0.25">
      <c r="A56" s="107" t="s">
        <v>748</v>
      </c>
      <c r="B56" s="107"/>
      <c r="C56" s="107"/>
      <c r="D56" s="107"/>
      <c r="E56" s="107"/>
      <c r="F56" s="107"/>
    </row>
    <row r="57" spans="1:6" x14ac:dyDescent="0.25">
      <c r="A57" s="42" t="s">
        <v>581</v>
      </c>
      <c r="B57" s="42" t="s">
        <v>744</v>
      </c>
      <c r="C57" s="42" t="s">
        <v>746</v>
      </c>
      <c r="D57" s="42" t="s">
        <v>745</v>
      </c>
      <c r="E57" s="42" t="s">
        <v>746</v>
      </c>
      <c r="F57" s="42" t="s">
        <v>761</v>
      </c>
    </row>
    <row r="58" spans="1:6" x14ac:dyDescent="0.25">
      <c r="A58" s="2" t="s">
        <v>709</v>
      </c>
      <c r="B58" s="2" t="str">
        <f>B25</f>
        <v>H350X252X11X19</v>
      </c>
      <c r="C58" s="2">
        <f>VLOOKUP(B58,寬翼斷面尺寸!$A$2:'寬翼斷面尺寸'!$N$110,8,0)</f>
        <v>1852.5239999999999</v>
      </c>
      <c r="D58" s="2" t="str">
        <f>B45</f>
        <v>H368X356X18X28</v>
      </c>
      <c r="E58" s="2">
        <f>VLOOKUP(D58,寬翼斷面尺寸!$A$2:'寬翼斷面尺寸'!$N$110,8,0)</f>
        <v>3827.1680000000001</v>
      </c>
      <c r="F58" s="2" t="str">
        <f>IF( E58/C58&gt;=1.25,"OK",IF(E58/C58&lt;1.25,"NG"))</f>
        <v>OK</v>
      </c>
    </row>
    <row r="59" spans="1:6" x14ac:dyDescent="0.25">
      <c r="A59" s="2" t="s">
        <v>8</v>
      </c>
      <c r="B59" s="2" t="str">
        <f t="shared" ref="B59:B61" si="25">B26</f>
        <v>H350X252X11X19</v>
      </c>
      <c r="C59" s="2">
        <f>VLOOKUP(B59,寬翼斷面尺寸!$A$2:'寬翼斷面尺寸'!$N$110,8,0)</f>
        <v>1852.5239999999999</v>
      </c>
      <c r="D59" s="2" t="str">
        <f t="shared" ref="D59:D61" si="26">B46</f>
        <v>H368X356X18X28</v>
      </c>
      <c r="E59" s="2">
        <f>VLOOKUP(D59,寬翼斷面尺寸!$A$2:'寬翼斷面尺寸'!$N$110,8,0)</f>
        <v>3827.1680000000001</v>
      </c>
      <c r="F59" s="2" t="str">
        <f t="shared" ref="F59:F61" si="27">IF( E59/C59&gt;=1.25,"OK",IF(E59/C59&lt;1.25,"NG"))</f>
        <v>OK</v>
      </c>
    </row>
    <row r="60" spans="1:6" x14ac:dyDescent="0.25">
      <c r="A60" s="2" t="s">
        <v>9</v>
      </c>
      <c r="B60" s="2" t="str">
        <f t="shared" si="25"/>
        <v>H360X354X16X24</v>
      </c>
      <c r="C60" s="2">
        <f>VLOOKUP(B60,寬翼斷面尺寸!$A$2:'寬翼斷面尺寸'!$N$110,8,0)</f>
        <v>3244.0320000000002</v>
      </c>
      <c r="D60" s="2" t="str">
        <f t="shared" si="26"/>
        <v>H378X358X20X33</v>
      </c>
      <c r="E60" s="2">
        <f>VLOOKUP(D60,寬翼斷面尺寸!$A$2:'寬翼斷面尺寸'!$N$110,8,0)</f>
        <v>4562.55</v>
      </c>
      <c r="F60" s="2" t="str">
        <f t="shared" si="27"/>
        <v>OK</v>
      </c>
    </row>
    <row r="61" spans="1:6" x14ac:dyDescent="0.25">
      <c r="A61" s="2" t="s">
        <v>10</v>
      </c>
      <c r="B61" s="2" t="str">
        <f t="shared" si="25"/>
        <v>H360X354X16X24</v>
      </c>
      <c r="C61" s="2">
        <f>VLOOKUP(B61,寬翼斷面尺寸!$A$2:'寬翼斷面尺寸'!$N$110,8,0)</f>
        <v>3244.0320000000002</v>
      </c>
      <c r="D61" s="2" t="str">
        <f t="shared" si="26"/>
        <v>H378X358X20X33</v>
      </c>
      <c r="E61" s="2">
        <f>VLOOKUP(D61,寬翼斷面尺寸!$A$2:'寬翼斷面尺寸'!$N$110,8,0)</f>
        <v>4562.55</v>
      </c>
      <c r="F61" s="2" t="str">
        <f t="shared" si="27"/>
        <v>OK</v>
      </c>
    </row>
  </sheetData>
  <mergeCells count="4">
    <mergeCell ref="A56:F56"/>
    <mergeCell ref="A9:B9"/>
    <mergeCell ref="C23:D23"/>
    <mergeCell ref="C43:D43"/>
  </mergeCells>
  <phoneticPr fontId="1" type="noConversion"/>
  <dataValidations count="1">
    <dataValidation type="list" allowBlank="1" showInputMessage="1" showErrorMessage="1" sqref="B25:B28 B45:B48">
      <formula1>Section</formula1>
    </dataValidation>
  </dataValidations>
  <pageMargins left="0.7" right="0.7" top="0.75" bottom="0.75" header="0.3" footer="0.3"/>
  <ignoredErrors>
    <ignoredError sqref="D58:D61 D51:D54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2"/>
  <sheetViews>
    <sheetView topLeftCell="A85" zoomScale="85" zoomScaleNormal="85" workbookViewId="0">
      <selection activeCell="F16" sqref="F16"/>
    </sheetView>
  </sheetViews>
  <sheetFormatPr defaultRowHeight="16.5" x14ac:dyDescent="0.25"/>
  <cols>
    <col min="1" max="3" width="9" style="1"/>
    <col min="4" max="4" width="17.125" style="1" customWidth="1"/>
    <col min="5" max="13" width="9" style="1"/>
    <col min="14" max="14" width="5.625" style="1" customWidth="1"/>
    <col min="15" max="15" width="14.375" style="1" customWidth="1"/>
    <col min="16" max="24" width="9" style="1"/>
    <col min="25" max="25" width="9" style="30"/>
    <col min="26" max="29" width="9" style="1"/>
    <col min="30" max="30" width="15.5" style="1" customWidth="1"/>
    <col min="31" max="16384" width="9" style="1"/>
  </cols>
  <sheetData>
    <row r="1" spans="1:30" ht="17.25" thickBot="1" x14ac:dyDescent="0.3">
      <c r="A1" s="37" t="s">
        <v>39</v>
      </c>
      <c r="B1" s="37" t="s">
        <v>40</v>
      </c>
      <c r="C1" s="37" t="s">
        <v>408</v>
      </c>
      <c r="E1" s="122" t="s">
        <v>87</v>
      </c>
      <c r="F1" s="124" t="s">
        <v>86</v>
      </c>
      <c r="G1" s="17" t="s">
        <v>88</v>
      </c>
      <c r="H1" s="17" t="s">
        <v>88</v>
      </c>
      <c r="I1" s="17" t="s">
        <v>89</v>
      </c>
      <c r="J1" s="17" t="s">
        <v>89</v>
      </c>
      <c r="K1" s="122" t="s">
        <v>47</v>
      </c>
      <c r="M1" s="37" t="s">
        <v>42</v>
      </c>
      <c r="N1" s="37" t="s">
        <v>43</v>
      </c>
      <c r="O1" s="37" t="s">
        <v>44</v>
      </c>
      <c r="P1" s="37" t="s">
        <v>45</v>
      </c>
      <c r="Q1" s="37" t="s">
        <v>101</v>
      </c>
      <c r="R1" s="37" t="s">
        <v>125</v>
      </c>
      <c r="S1" s="37" t="s">
        <v>153</v>
      </c>
      <c r="T1" s="37" t="s">
        <v>180</v>
      </c>
      <c r="U1" s="37" t="s">
        <v>195</v>
      </c>
      <c r="V1" s="37" t="s">
        <v>218</v>
      </c>
      <c r="W1" s="37" t="s">
        <v>240</v>
      </c>
      <c r="X1" s="37" t="s">
        <v>241</v>
      </c>
      <c r="Y1" s="65" t="s">
        <v>276</v>
      </c>
      <c r="Z1" s="37" t="s">
        <v>315</v>
      </c>
      <c r="AA1" s="37" t="s">
        <v>349</v>
      </c>
      <c r="AB1" s="37" t="s">
        <v>355</v>
      </c>
      <c r="AC1" s="37" t="s">
        <v>373</v>
      </c>
      <c r="AD1" s="37" t="s">
        <v>388</v>
      </c>
    </row>
    <row r="2" spans="1:30" ht="16.5" customHeight="1" thickBot="1" x14ac:dyDescent="0.3">
      <c r="A2" s="37" t="s">
        <v>33</v>
      </c>
      <c r="B2" s="37">
        <f>0.085*(地震力計算!$C$1)^0.75</f>
        <v>0.67999999999999994</v>
      </c>
      <c r="C2" s="37">
        <v>4.8</v>
      </c>
      <c r="E2" s="123"/>
      <c r="F2" s="125"/>
      <c r="G2" s="18" t="s">
        <v>46</v>
      </c>
      <c r="H2" s="19">
        <v>1</v>
      </c>
      <c r="I2" s="18" t="s">
        <v>46</v>
      </c>
      <c r="J2" s="19">
        <v>1</v>
      </c>
      <c r="K2" s="123"/>
      <c r="M2" s="39" t="s">
        <v>48</v>
      </c>
      <c r="N2" s="20" t="s">
        <v>55</v>
      </c>
      <c r="O2" s="20" t="s">
        <v>67</v>
      </c>
      <c r="P2" s="20" t="s">
        <v>80</v>
      </c>
      <c r="Q2" s="20" t="s">
        <v>102</v>
      </c>
      <c r="R2" s="20" t="s">
        <v>126</v>
      </c>
      <c r="S2" s="20" t="s">
        <v>154</v>
      </c>
      <c r="T2" s="20" t="s">
        <v>181</v>
      </c>
      <c r="U2" s="20" t="s">
        <v>196</v>
      </c>
      <c r="V2" s="20" t="s">
        <v>219</v>
      </c>
      <c r="W2" s="20" t="s">
        <v>98</v>
      </c>
      <c r="X2" s="20" t="s">
        <v>242</v>
      </c>
      <c r="Y2" s="31" t="s">
        <v>277</v>
      </c>
      <c r="Z2" s="20" t="s">
        <v>316</v>
      </c>
      <c r="AA2" s="20" t="s">
        <v>350</v>
      </c>
      <c r="AB2" s="20" t="s">
        <v>356</v>
      </c>
      <c r="AC2" s="20" t="s">
        <v>374</v>
      </c>
    </row>
    <row r="3" spans="1:30" ht="29.25" thickBot="1" x14ac:dyDescent="0.3">
      <c r="A3" s="37" t="s">
        <v>34</v>
      </c>
      <c r="B3" s="37">
        <f>0.05*(地震力計算!$C$1)^0.75</f>
        <v>0.39999999999999991</v>
      </c>
      <c r="C3" s="37">
        <v>3.6</v>
      </c>
      <c r="E3" s="126" t="s">
        <v>390</v>
      </c>
      <c r="F3" s="20" t="s">
        <v>48</v>
      </c>
      <c r="G3" s="16">
        <v>0.6</v>
      </c>
      <c r="H3" s="16">
        <v>0.35</v>
      </c>
      <c r="I3" s="16">
        <v>0.8</v>
      </c>
      <c r="J3" s="16">
        <v>0.5</v>
      </c>
      <c r="K3" s="16"/>
      <c r="M3" s="39" t="s">
        <v>49</v>
      </c>
      <c r="N3" s="20" t="s">
        <v>56</v>
      </c>
      <c r="O3" s="20" t="s">
        <v>68</v>
      </c>
      <c r="P3" s="20" t="s">
        <v>81</v>
      </c>
      <c r="Q3" s="20" t="s">
        <v>103</v>
      </c>
      <c r="R3" s="20" t="s">
        <v>127</v>
      </c>
      <c r="S3" s="20" t="s">
        <v>155</v>
      </c>
      <c r="T3" s="20" t="s">
        <v>182</v>
      </c>
      <c r="U3" s="20" t="s">
        <v>197</v>
      </c>
      <c r="V3" s="20" t="s">
        <v>220</v>
      </c>
      <c r="W3" s="20" t="s">
        <v>149</v>
      </c>
      <c r="X3" s="23" t="s">
        <v>243</v>
      </c>
      <c r="Y3" s="31" t="s">
        <v>278</v>
      </c>
      <c r="Z3" s="20" t="s">
        <v>317</v>
      </c>
      <c r="AA3" s="20" t="s">
        <v>351</v>
      </c>
      <c r="AB3" s="21" t="s">
        <v>357</v>
      </c>
      <c r="AC3" s="20" t="s">
        <v>375</v>
      </c>
    </row>
    <row r="4" spans="1:30" ht="29.25" thickBot="1" x14ac:dyDescent="0.3">
      <c r="A4" s="37" t="s">
        <v>35</v>
      </c>
      <c r="B4" s="37">
        <f>0.07*(地震力計算!$C$1)^0.75</f>
        <v>0.55999999999999994</v>
      </c>
      <c r="C4" s="37">
        <v>4.8</v>
      </c>
      <c r="E4" s="127"/>
      <c r="F4" s="20" t="s">
        <v>49</v>
      </c>
      <c r="G4" s="16">
        <v>0.6</v>
      </c>
      <c r="H4" s="16">
        <v>0.3</v>
      </c>
      <c r="I4" s="16">
        <v>0.8</v>
      </c>
      <c r="J4" s="16">
        <v>0.45</v>
      </c>
      <c r="K4" s="16"/>
      <c r="M4" s="39" t="s">
        <v>50</v>
      </c>
      <c r="N4" s="20" t="s">
        <v>57</v>
      </c>
      <c r="O4" s="20" t="s">
        <v>69</v>
      </c>
      <c r="P4" s="20" t="s">
        <v>82</v>
      </c>
      <c r="Q4" s="20" t="s">
        <v>105</v>
      </c>
      <c r="R4" s="20" t="s">
        <v>128</v>
      </c>
      <c r="S4" s="20" t="s">
        <v>156</v>
      </c>
      <c r="T4" s="20" t="s">
        <v>183</v>
      </c>
      <c r="U4" s="20" t="s">
        <v>199</v>
      </c>
      <c r="V4" s="20" t="s">
        <v>221</v>
      </c>
      <c r="X4" s="39" t="s">
        <v>244</v>
      </c>
      <c r="Y4" s="31" t="s">
        <v>279</v>
      </c>
      <c r="Z4" s="20" t="s">
        <v>318</v>
      </c>
      <c r="AA4" s="20" t="s">
        <v>352</v>
      </c>
      <c r="AB4" s="20" t="s">
        <v>359</v>
      </c>
      <c r="AC4" s="20" t="s">
        <v>376</v>
      </c>
    </row>
    <row r="5" spans="1:30" ht="29.25" thickBot="1" x14ac:dyDescent="0.3">
      <c r="A5" s="37" t="s">
        <v>37</v>
      </c>
      <c r="B5" s="37">
        <f>0.07*(地震力計算!$C$1)^0.75</f>
        <v>0.55999999999999994</v>
      </c>
      <c r="C5" s="37">
        <v>4.8</v>
      </c>
      <c r="E5" s="127"/>
      <c r="F5" s="20" t="s">
        <v>50</v>
      </c>
      <c r="G5" s="16">
        <v>0.6</v>
      </c>
      <c r="H5" s="16">
        <v>0.35</v>
      </c>
      <c r="I5" s="16">
        <v>0.8</v>
      </c>
      <c r="J5" s="16">
        <v>0.5</v>
      </c>
      <c r="K5" s="16"/>
      <c r="M5" s="39" t="s">
        <v>51</v>
      </c>
      <c r="N5" s="20" t="s">
        <v>58</v>
      </c>
      <c r="O5" s="20" t="s">
        <v>70</v>
      </c>
      <c r="P5" s="20" t="s">
        <v>83</v>
      </c>
      <c r="Q5" s="20" t="s">
        <v>107</v>
      </c>
      <c r="R5" s="20" t="s">
        <v>129</v>
      </c>
      <c r="S5" s="20" t="s">
        <v>157</v>
      </c>
      <c r="T5" s="20" t="s">
        <v>184</v>
      </c>
      <c r="U5" s="20" t="s">
        <v>200</v>
      </c>
      <c r="V5" s="20" t="s">
        <v>222</v>
      </c>
      <c r="X5" s="39" t="s">
        <v>245</v>
      </c>
      <c r="Y5" s="31" t="s">
        <v>280</v>
      </c>
      <c r="Z5" s="20" t="s">
        <v>319</v>
      </c>
      <c r="AA5" s="20" t="s">
        <v>353</v>
      </c>
      <c r="AB5" s="20" t="s">
        <v>360</v>
      </c>
      <c r="AC5" s="20" t="s">
        <v>377</v>
      </c>
    </row>
    <row r="6" spans="1:30" ht="29.25" thickBot="1" x14ac:dyDescent="0.3">
      <c r="E6" s="127"/>
      <c r="F6" s="20" t="s">
        <v>51</v>
      </c>
      <c r="G6" s="16">
        <v>0.6</v>
      </c>
      <c r="H6" s="16">
        <v>0.35</v>
      </c>
      <c r="I6" s="16">
        <v>0.8</v>
      </c>
      <c r="J6" s="16">
        <v>0.5</v>
      </c>
      <c r="K6" s="16"/>
      <c r="M6" s="39" t="s">
        <v>52</v>
      </c>
      <c r="N6" s="20" t="s">
        <v>59</v>
      </c>
      <c r="O6" s="20" t="s">
        <v>71</v>
      </c>
      <c r="P6" s="20" t="s">
        <v>84</v>
      </c>
      <c r="Q6" s="20" t="s">
        <v>108</v>
      </c>
      <c r="R6" s="20" t="s">
        <v>130</v>
      </c>
      <c r="S6" s="20" t="s">
        <v>158</v>
      </c>
      <c r="T6" s="20" t="s">
        <v>186</v>
      </c>
      <c r="U6" s="20" t="s">
        <v>201</v>
      </c>
      <c r="V6" s="20" t="s">
        <v>224</v>
      </c>
      <c r="X6" s="39" t="s">
        <v>246</v>
      </c>
      <c r="Y6" s="31" t="s">
        <v>281</v>
      </c>
      <c r="Z6" s="20" t="s">
        <v>320</v>
      </c>
      <c r="AA6" s="20" t="s">
        <v>354</v>
      </c>
      <c r="AB6" s="23" t="s">
        <v>361</v>
      </c>
      <c r="AC6" s="20" t="s">
        <v>378</v>
      </c>
    </row>
    <row r="7" spans="1:30" ht="29.25" thickBot="1" x14ac:dyDescent="0.3">
      <c r="E7" s="127"/>
      <c r="F7" s="20" t="s">
        <v>52</v>
      </c>
      <c r="G7" s="16">
        <v>0.6</v>
      </c>
      <c r="H7" s="16">
        <v>0.35</v>
      </c>
      <c r="I7" s="16">
        <v>0.8</v>
      </c>
      <c r="J7" s="16">
        <v>0.5</v>
      </c>
      <c r="K7" s="16"/>
      <c r="M7" s="39" t="s">
        <v>53</v>
      </c>
      <c r="N7" s="23" t="s">
        <v>60</v>
      </c>
      <c r="O7" s="20" t="s">
        <v>72</v>
      </c>
      <c r="P7" s="20" t="s">
        <v>85</v>
      </c>
      <c r="Q7" s="20" t="s">
        <v>109</v>
      </c>
      <c r="R7" s="20" t="s">
        <v>131</v>
      </c>
      <c r="S7" s="20" t="s">
        <v>159</v>
      </c>
      <c r="T7" s="20" t="s">
        <v>187</v>
      </c>
      <c r="U7" s="20" t="s">
        <v>202</v>
      </c>
      <c r="V7" s="20" t="s">
        <v>225</v>
      </c>
      <c r="X7" s="39" t="s">
        <v>247</v>
      </c>
      <c r="Y7" s="31" t="s">
        <v>282</v>
      </c>
      <c r="Z7" s="20" t="s">
        <v>321</v>
      </c>
      <c r="AB7" s="39" t="s">
        <v>362</v>
      </c>
      <c r="AC7" s="20" t="s">
        <v>379</v>
      </c>
    </row>
    <row r="8" spans="1:30" ht="29.25" thickBot="1" x14ac:dyDescent="0.3">
      <c r="E8" s="127"/>
      <c r="F8" s="20" t="s">
        <v>53</v>
      </c>
      <c r="G8" s="16">
        <v>0.6</v>
      </c>
      <c r="H8" s="16">
        <v>0.3</v>
      </c>
      <c r="I8" s="16">
        <v>0.8</v>
      </c>
      <c r="J8" s="16">
        <v>0.5</v>
      </c>
      <c r="K8" s="16"/>
      <c r="M8" s="39" t="s">
        <v>54</v>
      </c>
      <c r="N8" s="39" t="s">
        <v>61</v>
      </c>
      <c r="O8" s="20" t="s">
        <v>73</v>
      </c>
      <c r="P8" s="21" t="s">
        <v>90</v>
      </c>
      <c r="Q8" s="20" t="s">
        <v>110</v>
      </c>
      <c r="R8" s="20" t="s">
        <v>132</v>
      </c>
      <c r="S8" s="20" t="s">
        <v>160</v>
      </c>
      <c r="T8" s="20" t="s">
        <v>188</v>
      </c>
      <c r="U8" s="20" t="s">
        <v>203</v>
      </c>
      <c r="V8" s="20" t="s">
        <v>226</v>
      </c>
      <c r="X8" s="39" t="s">
        <v>248</v>
      </c>
      <c r="Y8" s="31" t="s">
        <v>283</v>
      </c>
      <c r="Z8" s="20" t="s">
        <v>322</v>
      </c>
      <c r="AB8" s="39" t="s">
        <v>363</v>
      </c>
      <c r="AC8" s="20" t="s">
        <v>380</v>
      </c>
    </row>
    <row r="9" spans="1:30" ht="29.25" thickBot="1" x14ac:dyDescent="0.3">
      <c r="E9" s="128"/>
      <c r="F9" s="20" t="s">
        <v>54</v>
      </c>
      <c r="G9" s="16">
        <v>0.6</v>
      </c>
      <c r="H9" s="16">
        <v>0.35</v>
      </c>
      <c r="I9" s="16">
        <v>0.8</v>
      </c>
      <c r="J9" s="16">
        <v>0.5</v>
      </c>
      <c r="K9" s="16"/>
      <c r="N9" s="39" t="s">
        <v>62</v>
      </c>
      <c r="O9" s="20" t="s">
        <v>74</v>
      </c>
      <c r="P9" s="20" t="s">
        <v>91</v>
      </c>
      <c r="Q9" s="117" t="s">
        <v>111</v>
      </c>
      <c r="R9" s="20" t="s">
        <v>133</v>
      </c>
      <c r="S9" s="20" t="s">
        <v>161</v>
      </c>
      <c r="T9" s="20" t="s">
        <v>189</v>
      </c>
      <c r="U9" s="20" t="s">
        <v>205</v>
      </c>
      <c r="V9" s="20" t="s">
        <v>227</v>
      </c>
      <c r="X9" s="39" t="s">
        <v>249</v>
      </c>
      <c r="Y9" s="31" t="s">
        <v>284</v>
      </c>
      <c r="Z9" s="20" t="s">
        <v>323</v>
      </c>
      <c r="AB9" s="39" t="s">
        <v>364</v>
      </c>
      <c r="AC9" s="20" t="s">
        <v>381</v>
      </c>
    </row>
    <row r="10" spans="1:30" ht="29.25" thickBot="1" x14ac:dyDescent="0.3">
      <c r="E10" s="119" t="s">
        <v>43</v>
      </c>
      <c r="F10" s="20" t="s">
        <v>55</v>
      </c>
      <c r="G10" s="16">
        <v>0.8</v>
      </c>
      <c r="H10" s="16">
        <v>0.45</v>
      </c>
      <c r="I10" s="16">
        <v>0.9</v>
      </c>
      <c r="J10" s="16">
        <v>0.55000000000000004</v>
      </c>
      <c r="K10" s="16"/>
      <c r="N10" s="39" t="s">
        <v>63</v>
      </c>
      <c r="O10" s="20" t="s">
        <v>75</v>
      </c>
      <c r="P10" s="20" t="s">
        <v>92</v>
      </c>
      <c r="Q10" s="118"/>
      <c r="R10" s="20" t="s">
        <v>134</v>
      </c>
      <c r="S10" s="20" t="s">
        <v>162</v>
      </c>
      <c r="T10" s="20" t="s">
        <v>190</v>
      </c>
      <c r="U10" s="20" t="s">
        <v>206</v>
      </c>
      <c r="V10" s="20" t="s">
        <v>228</v>
      </c>
      <c r="X10" s="39" t="s">
        <v>250</v>
      </c>
      <c r="Y10" s="31" t="s">
        <v>285</v>
      </c>
      <c r="Z10" s="20" t="s">
        <v>324</v>
      </c>
      <c r="AB10" s="39" t="s">
        <v>365</v>
      </c>
      <c r="AC10" s="20" t="s">
        <v>382</v>
      </c>
    </row>
    <row r="11" spans="1:30" ht="29.25" thickBot="1" x14ac:dyDescent="0.3">
      <c r="E11" s="120"/>
      <c r="F11" s="20" t="s">
        <v>56</v>
      </c>
      <c r="G11" s="16">
        <v>0.8</v>
      </c>
      <c r="H11" s="16">
        <v>0.45</v>
      </c>
      <c r="I11" s="16">
        <v>0.9</v>
      </c>
      <c r="J11" s="16">
        <v>0.55000000000000004</v>
      </c>
      <c r="K11" s="16"/>
      <c r="N11" s="39" t="s">
        <v>64</v>
      </c>
      <c r="O11" s="20" t="s">
        <v>76</v>
      </c>
      <c r="P11" s="20" t="s">
        <v>94</v>
      </c>
      <c r="Q11" s="20" t="s">
        <v>114</v>
      </c>
      <c r="R11" s="20" t="s">
        <v>135</v>
      </c>
      <c r="S11" s="20" t="s">
        <v>163</v>
      </c>
      <c r="T11" s="20" t="s">
        <v>191</v>
      </c>
      <c r="U11" s="20" t="s">
        <v>207</v>
      </c>
      <c r="V11" s="21" t="s">
        <v>229</v>
      </c>
      <c r="X11" s="39" t="s">
        <v>251</v>
      </c>
      <c r="Y11" s="31" t="s">
        <v>286</v>
      </c>
      <c r="Z11" s="20" t="s">
        <v>325</v>
      </c>
      <c r="AB11" s="39" t="s">
        <v>366</v>
      </c>
      <c r="AC11" s="20" t="s">
        <v>383</v>
      </c>
    </row>
    <row r="12" spans="1:30" ht="29.25" thickBot="1" x14ac:dyDescent="0.3">
      <c r="E12" s="120"/>
      <c r="F12" s="20" t="s">
        <v>57</v>
      </c>
      <c r="G12" s="16">
        <v>0.8</v>
      </c>
      <c r="H12" s="16">
        <v>0.45</v>
      </c>
      <c r="I12" s="16">
        <v>1</v>
      </c>
      <c r="J12" s="16">
        <v>0.55000000000000004</v>
      </c>
      <c r="K12" s="16"/>
      <c r="N12" s="39" t="s">
        <v>65</v>
      </c>
      <c r="O12" s="23" t="s">
        <v>77</v>
      </c>
      <c r="P12" s="20" t="s">
        <v>95</v>
      </c>
      <c r="Q12" s="20" t="s">
        <v>115</v>
      </c>
      <c r="R12" s="20" t="s">
        <v>136</v>
      </c>
      <c r="S12" s="20" t="s">
        <v>164</v>
      </c>
      <c r="T12" s="20" t="s">
        <v>192</v>
      </c>
      <c r="U12" s="20" t="s">
        <v>208</v>
      </c>
      <c r="V12" s="20" t="s">
        <v>230</v>
      </c>
      <c r="X12" s="39" t="s">
        <v>252</v>
      </c>
      <c r="Y12" s="31" t="s">
        <v>287</v>
      </c>
      <c r="Z12" s="20" t="s">
        <v>326</v>
      </c>
      <c r="AB12" s="39" t="s">
        <v>367</v>
      </c>
      <c r="AC12" s="20" t="s">
        <v>384</v>
      </c>
    </row>
    <row r="13" spans="1:30" ht="29.25" thickBot="1" x14ac:dyDescent="0.3">
      <c r="E13" s="120"/>
      <c r="F13" s="20" t="s">
        <v>58</v>
      </c>
      <c r="G13" s="16">
        <v>0.8</v>
      </c>
      <c r="H13" s="16">
        <v>0.45</v>
      </c>
      <c r="I13" s="16">
        <v>0.9</v>
      </c>
      <c r="J13" s="16">
        <v>0.55000000000000004</v>
      </c>
      <c r="K13" s="16"/>
      <c r="N13" s="39" t="s">
        <v>66</v>
      </c>
      <c r="O13" s="39" t="s">
        <v>78</v>
      </c>
      <c r="P13" s="23" t="s">
        <v>96</v>
      </c>
      <c r="Q13" s="20" t="s">
        <v>116</v>
      </c>
      <c r="R13" s="20" t="s">
        <v>137</v>
      </c>
      <c r="S13" s="20" t="s">
        <v>165</v>
      </c>
      <c r="T13" s="20" t="s">
        <v>193</v>
      </c>
      <c r="U13" s="20" t="s">
        <v>209</v>
      </c>
      <c r="V13" s="20" t="s">
        <v>231</v>
      </c>
      <c r="X13" s="39" t="s">
        <v>254</v>
      </c>
      <c r="Y13" s="31" t="s">
        <v>288</v>
      </c>
      <c r="Z13" s="20" t="s">
        <v>327</v>
      </c>
      <c r="AB13" s="39" t="s">
        <v>368</v>
      </c>
      <c r="AC13" s="20" t="s">
        <v>385</v>
      </c>
    </row>
    <row r="14" spans="1:30" ht="17.25" thickBot="1" x14ac:dyDescent="0.3">
      <c r="E14" s="120"/>
      <c r="F14" s="20" t="s">
        <v>59</v>
      </c>
      <c r="G14" s="16">
        <v>0.8</v>
      </c>
      <c r="H14" s="16">
        <v>0.45</v>
      </c>
      <c r="I14" s="16">
        <v>0.9</v>
      </c>
      <c r="J14" s="16">
        <v>0.55000000000000004</v>
      </c>
      <c r="K14" s="16"/>
      <c r="O14" s="39" t="s">
        <v>79</v>
      </c>
      <c r="P14" s="39" t="s">
        <v>97</v>
      </c>
      <c r="Q14" s="20" t="s">
        <v>117</v>
      </c>
      <c r="R14" s="20" t="s">
        <v>138</v>
      </c>
      <c r="S14" s="20" t="s">
        <v>166</v>
      </c>
      <c r="T14" s="20" t="s">
        <v>194</v>
      </c>
      <c r="U14" s="23" t="s">
        <v>210</v>
      </c>
      <c r="V14" s="20" t="s">
        <v>233</v>
      </c>
      <c r="X14" s="39" t="s">
        <v>255</v>
      </c>
      <c r="Y14" s="31" t="s">
        <v>289</v>
      </c>
      <c r="Z14" s="20" t="s">
        <v>328</v>
      </c>
      <c r="AB14" s="39" t="s">
        <v>369</v>
      </c>
      <c r="AC14" s="20" t="s">
        <v>386</v>
      </c>
    </row>
    <row r="15" spans="1:30" ht="17.25" thickBot="1" x14ac:dyDescent="0.3">
      <c r="E15" s="120"/>
      <c r="F15" s="20" t="s">
        <v>60</v>
      </c>
      <c r="G15" s="16">
        <v>0.8</v>
      </c>
      <c r="H15" s="16">
        <v>0.45</v>
      </c>
      <c r="I15" s="16">
        <v>0.9</v>
      </c>
      <c r="J15" s="16">
        <v>0.55000000000000004</v>
      </c>
      <c r="K15" s="16"/>
      <c r="P15" s="39" t="s">
        <v>98</v>
      </c>
      <c r="Q15" s="20" t="s">
        <v>118</v>
      </c>
      <c r="R15" s="21" t="s">
        <v>139</v>
      </c>
      <c r="S15" s="20" t="s">
        <v>167</v>
      </c>
      <c r="U15" s="39" t="s">
        <v>211</v>
      </c>
      <c r="V15" s="20" t="s">
        <v>234</v>
      </c>
      <c r="X15" s="39" t="s">
        <v>256</v>
      </c>
      <c r="Y15" s="31" t="s">
        <v>290</v>
      </c>
      <c r="Z15" s="20" t="s">
        <v>329</v>
      </c>
      <c r="AB15" s="39" t="s">
        <v>370</v>
      </c>
    </row>
    <row r="16" spans="1:30" ht="17.25" thickBot="1" x14ac:dyDescent="0.3">
      <c r="E16" s="120"/>
      <c r="F16" s="20" t="s">
        <v>61</v>
      </c>
      <c r="G16" s="16">
        <v>0.8</v>
      </c>
      <c r="H16" s="16">
        <v>0.45</v>
      </c>
      <c r="I16" s="16">
        <v>0.9</v>
      </c>
      <c r="J16" s="16">
        <v>0.55000000000000004</v>
      </c>
      <c r="K16" s="16"/>
      <c r="P16" s="39" t="s">
        <v>99</v>
      </c>
      <c r="Q16" s="20" t="s">
        <v>119</v>
      </c>
      <c r="R16" s="20" t="s">
        <v>140</v>
      </c>
      <c r="S16" s="20" t="s">
        <v>168</v>
      </c>
      <c r="U16" s="39" t="s">
        <v>212</v>
      </c>
      <c r="V16" s="20" t="s">
        <v>236</v>
      </c>
      <c r="X16" s="39" t="s">
        <v>257</v>
      </c>
      <c r="Y16" s="31" t="s">
        <v>291</v>
      </c>
      <c r="Z16" s="20" t="s">
        <v>330</v>
      </c>
      <c r="AB16" s="39" t="s">
        <v>371</v>
      </c>
    </row>
    <row r="17" spans="5:28" ht="17.25" thickBot="1" x14ac:dyDescent="0.3">
      <c r="E17" s="120"/>
      <c r="F17" s="20" t="s">
        <v>62</v>
      </c>
      <c r="G17" s="16">
        <v>0.8</v>
      </c>
      <c r="H17" s="16">
        <v>0.45</v>
      </c>
      <c r="I17" s="16">
        <v>0.9</v>
      </c>
      <c r="J17" s="16">
        <v>0.55000000000000004</v>
      </c>
      <c r="K17" s="16"/>
      <c r="P17" s="39" t="s">
        <v>100</v>
      </c>
      <c r="Q17" s="23" t="s">
        <v>120</v>
      </c>
      <c r="R17" s="20" t="s">
        <v>141</v>
      </c>
      <c r="S17" s="20" t="s">
        <v>169</v>
      </c>
      <c r="U17" s="39" t="s">
        <v>213</v>
      </c>
      <c r="V17" s="20" t="s">
        <v>237</v>
      </c>
      <c r="X17" s="39" t="s">
        <v>258</v>
      </c>
      <c r="Y17" s="31" t="s">
        <v>292</v>
      </c>
      <c r="Z17" s="20" t="s">
        <v>331</v>
      </c>
      <c r="AB17" s="39" t="s">
        <v>372</v>
      </c>
    </row>
    <row r="18" spans="5:28" ht="17.25" thickBot="1" x14ac:dyDescent="0.3">
      <c r="E18" s="120"/>
      <c r="F18" s="20" t="s">
        <v>63</v>
      </c>
      <c r="G18" s="16">
        <v>0.8</v>
      </c>
      <c r="H18" s="16">
        <v>0.45</v>
      </c>
      <c r="I18" s="16">
        <v>0.9</v>
      </c>
      <c r="J18" s="16">
        <v>0.55000000000000004</v>
      </c>
      <c r="K18" s="16"/>
      <c r="Q18" s="39" t="s">
        <v>121</v>
      </c>
      <c r="R18" s="20" t="s">
        <v>142</v>
      </c>
      <c r="S18" s="20" t="s">
        <v>170</v>
      </c>
      <c r="U18" s="39" t="s">
        <v>214</v>
      </c>
      <c r="V18" s="20" t="s">
        <v>238</v>
      </c>
      <c r="X18" s="39" t="s">
        <v>259</v>
      </c>
      <c r="Y18" s="31" t="s">
        <v>293</v>
      </c>
      <c r="Z18" s="20" t="s">
        <v>332</v>
      </c>
    </row>
    <row r="19" spans="5:28" ht="17.25" thickBot="1" x14ac:dyDescent="0.3">
      <c r="E19" s="120"/>
      <c r="F19" s="20" t="s">
        <v>64</v>
      </c>
      <c r="G19" s="16">
        <v>0.8</v>
      </c>
      <c r="H19" s="16">
        <v>0.45</v>
      </c>
      <c r="I19" s="16">
        <v>0.9</v>
      </c>
      <c r="J19" s="16">
        <v>0.55000000000000004</v>
      </c>
      <c r="K19" s="16"/>
      <c r="Q19" s="39" t="s">
        <v>122</v>
      </c>
      <c r="R19" s="20" t="s">
        <v>143</v>
      </c>
      <c r="S19" s="20" t="s">
        <v>171</v>
      </c>
      <c r="U19" s="39" t="s">
        <v>215</v>
      </c>
      <c r="V19" s="20" t="s">
        <v>239</v>
      </c>
      <c r="X19" s="39" t="s">
        <v>260</v>
      </c>
      <c r="Y19" s="31" t="s">
        <v>294</v>
      </c>
      <c r="Z19" s="20" t="s">
        <v>333</v>
      </c>
    </row>
    <row r="20" spans="5:28" ht="17.25" thickBot="1" x14ac:dyDescent="0.3">
      <c r="E20" s="120"/>
      <c r="F20" s="20" t="s">
        <v>65</v>
      </c>
      <c r="G20" s="16">
        <v>0.8</v>
      </c>
      <c r="H20" s="16">
        <v>0.45</v>
      </c>
      <c r="I20" s="16">
        <v>0.9</v>
      </c>
      <c r="J20" s="16">
        <v>0.5</v>
      </c>
      <c r="K20" s="16"/>
      <c r="Q20" s="39" t="s">
        <v>123</v>
      </c>
      <c r="R20" s="23" t="s">
        <v>144</v>
      </c>
      <c r="S20" s="20" t="s">
        <v>172</v>
      </c>
      <c r="U20" s="39" t="s">
        <v>216</v>
      </c>
      <c r="X20" s="39" t="s">
        <v>261</v>
      </c>
      <c r="Y20" s="31" t="s">
        <v>295</v>
      </c>
      <c r="Z20" s="20" t="s">
        <v>334</v>
      </c>
    </row>
    <row r="21" spans="5:28" ht="17.25" thickBot="1" x14ac:dyDescent="0.3">
      <c r="E21" s="121"/>
      <c r="F21" s="20" t="s">
        <v>66</v>
      </c>
      <c r="G21" s="16">
        <v>0.8</v>
      </c>
      <c r="H21" s="16">
        <v>0.45</v>
      </c>
      <c r="I21" s="16">
        <v>1</v>
      </c>
      <c r="J21" s="16">
        <v>0.55000000000000004</v>
      </c>
      <c r="K21" s="16"/>
      <c r="R21" s="39" t="s">
        <v>145</v>
      </c>
      <c r="S21" s="20" t="s">
        <v>173</v>
      </c>
      <c r="U21" s="39" t="s">
        <v>217</v>
      </c>
      <c r="X21" s="39" t="s">
        <v>262</v>
      </c>
      <c r="Y21" s="31" t="s">
        <v>296</v>
      </c>
      <c r="Z21" s="20" t="s">
        <v>335</v>
      </c>
    </row>
    <row r="22" spans="5:28" ht="17.25" thickBot="1" x14ac:dyDescent="0.3">
      <c r="E22" s="119" t="s">
        <v>44</v>
      </c>
      <c r="F22" s="20" t="s">
        <v>67</v>
      </c>
      <c r="G22" s="16">
        <v>0.5</v>
      </c>
      <c r="H22" s="16">
        <v>0.3</v>
      </c>
      <c r="I22" s="16">
        <v>0.8</v>
      </c>
      <c r="J22" s="16">
        <v>0.4</v>
      </c>
      <c r="K22" s="16"/>
      <c r="R22" s="39" t="s">
        <v>146</v>
      </c>
      <c r="S22" s="20" t="s">
        <v>174</v>
      </c>
      <c r="X22" s="39" t="s">
        <v>263</v>
      </c>
      <c r="Y22" s="31" t="s">
        <v>297</v>
      </c>
      <c r="Z22" s="20" t="s">
        <v>336</v>
      </c>
    </row>
    <row r="23" spans="5:28" ht="17.25" thickBot="1" x14ac:dyDescent="0.3">
      <c r="E23" s="120"/>
      <c r="F23" s="20" t="s">
        <v>68</v>
      </c>
      <c r="G23" s="16">
        <v>0.6</v>
      </c>
      <c r="H23" s="16">
        <v>0.3</v>
      </c>
      <c r="I23" s="16">
        <v>0.8</v>
      </c>
      <c r="J23" s="16">
        <v>0.45</v>
      </c>
      <c r="K23" s="16"/>
      <c r="R23" s="39" t="s">
        <v>147</v>
      </c>
      <c r="S23" s="20" t="s">
        <v>175</v>
      </c>
      <c r="X23" s="39" t="s">
        <v>264</v>
      </c>
      <c r="Y23" s="31" t="s">
        <v>298</v>
      </c>
      <c r="Z23" s="20" t="s">
        <v>337</v>
      </c>
    </row>
    <row r="24" spans="5:28" ht="17.25" thickBot="1" x14ac:dyDescent="0.3">
      <c r="E24" s="120"/>
      <c r="F24" s="20" t="s">
        <v>69</v>
      </c>
      <c r="G24" s="16">
        <v>0.7</v>
      </c>
      <c r="H24" s="16">
        <v>0.35</v>
      </c>
      <c r="I24" s="16">
        <v>0.8</v>
      </c>
      <c r="J24" s="16">
        <v>0.5</v>
      </c>
      <c r="K24" s="16"/>
      <c r="R24" s="39" t="s">
        <v>98</v>
      </c>
      <c r="S24" s="20" t="s">
        <v>176</v>
      </c>
      <c r="X24" s="39" t="s">
        <v>265</v>
      </c>
      <c r="Y24" s="31" t="s">
        <v>299</v>
      </c>
      <c r="Z24" s="20" t="s">
        <v>338</v>
      </c>
    </row>
    <row r="25" spans="5:28" ht="17.25" thickBot="1" x14ac:dyDescent="0.3">
      <c r="E25" s="120"/>
      <c r="F25" s="20" t="s">
        <v>70</v>
      </c>
      <c r="G25" s="16">
        <v>0.6</v>
      </c>
      <c r="H25" s="16">
        <v>0.35</v>
      </c>
      <c r="I25" s="16">
        <v>0.8</v>
      </c>
      <c r="J25" s="16">
        <v>0.45</v>
      </c>
      <c r="K25" s="16"/>
      <c r="R25" s="39" t="s">
        <v>148</v>
      </c>
      <c r="S25" s="20" t="s">
        <v>177</v>
      </c>
      <c r="X25" s="39" t="s">
        <v>266</v>
      </c>
      <c r="Y25" s="31" t="s">
        <v>300</v>
      </c>
      <c r="Z25" s="20" t="s">
        <v>339</v>
      </c>
    </row>
    <row r="26" spans="5:28" ht="17.25" thickBot="1" x14ac:dyDescent="0.3">
      <c r="E26" s="120"/>
      <c r="F26" s="20" t="s">
        <v>71</v>
      </c>
      <c r="G26" s="16">
        <v>0.5</v>
      </c>
      <c r="H26" s="16">
        <v>0.3</v>
      </c>
      <c r="I26" s="16">
        <v>0.7</v>
      </c>
      <c r="J26" s="16">
        <v>0.4</v>
      </c>
      <c r="K26" s="16"/>
      <c r="R26" s="39" t="s">
        <v>149</v>
      </c>
      <c r="S26" s="20" t="s">
        <v>178</v>
      </c>
      <c r="X26" s="39" t="s">
        <v>267</v>
      </c>
      <c r="Y26" s="31" t="s">
        <v>301</v>
      </c>
      <c r="Z26" s="20" t="s">
        <v>340</v>
      </c>
    </row>
    <row r="27" spans="5:28" ht="17.25" thickBot="1" x14ac:dyDescent="0.3">
      <c r="E27" s="120"/>
      <c r="F27" s="20" t="s">
        <v>72</v>
      </c>
      <c r="G27" s="16">
        <v>0.5</v>
      </c>
      <c r="H27" s="16">
        <v>0.3</v>
      </c>
      <c r="I27" s="16">
        <v>0.7</v>
      </c>
      <c r="J27" s="16">
        <v>0.4</v>
      </c>
      <c r="K27" s="16"/>
      <c r="R27" s="39" t="s">
        <v>99</v>
      </c>
      <c r="S27" s="20" t="s">
        <v>179</v>
      </c>
      <c r="X27" s="39" t="s">
        <v>268</v>
      </c>
      <c r="Y27" s="31" t="s">
        <v>302</v>
      </c>
      <c r="Z27" s="20" t="s">
        <v>341</v>
      </c>
    </row>
    <row r="28" spans="5:28" ht="17.25" thickBot="1" x14ac:dyDescent="0.3">
      <c r="E28" s="120"/>
      <c r="F28" s="20" t="s">
        <v>73</v>
      </c>
      <c r="G28" s="16">
        <v>0.5</v>
      </c>
      <c r="H28" s="16">
        <v>0.3</v>
      </c>
      <c r="I28" s="16">
        <v>0.7</v>
      </c>
      <c r="J28" s="16">
        <v>0.4</v>
      </c>
      <c r="K28" s="16"/>
      <c r="R28" s="39" t="s">
        <v>150</v>
      </c>
      <c r="X28" s="39" t="s">
        <v>269</v>
      </c>
      <c r="Y28" s="31" t="s">
        <v>303</v>
      </c>
      <c r="Z28" s="20" t="s">
        <v>342</v>
      </c>
    </row>
    <row r="29" spans="5:28" ht="17.25" thickBot="1" x14ac:dyDescent="0.3">
      <c r="E29" s="120"/>
      <c r="F29" s="20" t="s">
        <v>74</v>
      </c>
      <c r="G29" s="16">
        <v>0.6</v>
      </c>
      <c r="H29" s="16">
        <v>0.3</v>
      </c>
      <c r="I29" s="16">
        <v>0.8</v>
      </c>
      <c r="J29" s="16">
        <v>0.45</v>
      </c>
      <c r="K29" s="16"/>
      <c r="R29" s="39" t="s">
        <v>151</v>
      </c>
      <c r="X29" s="39" t="s">
        <v>270</v>
      </c>
      <c r="Y29" s="31" t="s">
        <v>304</v>
      </c>
      <c r="Z29" s="20" t="s">
        <v>343</v>
      </c>
    </row>
    <row r="30" spans="5:28" ht="17.25" thickBot="1" x14ac:dyDescent="0.3">
      <c r="E30" s="120"/>
      <c r="F30" s="20" t="s">
        <v>75</v>
      </c>
      <c r="G30" s="16">
        <v>0.7</v>
      </c>
      <c r="H30" s="16">
        <v>0.35</v>
      </c>
      <c r="I30" s="16">
        <v>0.8</v>
      </c>
      <c r="J30" s="16">
        <v>0.5</v>
      </c>
      <c r="K30" s="16"/>
      <c r="R30" s="39" t="s">
        <v>152</v>
      </c>
      <c r="X30" s="39" t="s">
        <v>271</v>
      </c>
      <c r="Y30" s="31" t="s">
        <v>305</v>
      </c>
      <c r="Z30" s="20" t="s">
        <v>344</v>
      </c>
    </row>
    <row r="31" spans="5:28" ht="17.25" thickBot="1" x14ac:dyDescent="0.3">
      <c r="E31" s="120"/>
      <c r="F31" s="20" t="s">
        <v>76</v>
      </c>
      <c r="G31" s="16">
        <v>0.6</v>
      </c>
      <c r="H31" s="16">
        <v>0.35</v>
      </c>
      <c r="I31" s="16">
        <v>0.8</v>
      </c>
      <c r="J31" s="16">
        <v>0.45</v>
      </c>
      <c r="K31" s="16"/>
      <c r="X31" s="39" t="s">
        <v>272</v>
      </c>
      <c r="Y31" s="31" t="s">
        <v>306</v>
      </c>
      <c r="Z31" s="20" t="s">
        <v>345</v>
      </c>
    </row>
    <row r="32" spans="5:28" ht="17.25" thickBot="1" x14ac:dyDescent="0.3">
      <c r="E32" s="120"/>
      <c r="F32" s="20" t="s">
        <v>77</v>
      </c>
      <c r="G32" s="16">
        <v>0.6</v>
      </c>
      <c r="H32" s="16">
        <v>0.3</v>
      </c>
      <c r="I32" s="16">
        <v>0.8</v>
      </c>
      <c r="J32" s="16">
        <v>0.45</v>
      </c>
      <c r="K32" s="16"/>
      <c r="X32" s="39" t="s">
        <v>273</v>
      </c>
      <c r="Y32" s="31" t="s">
        <v>307</v>
      </c>
      <c r="Z32" s="20" t="s">
        <v>346</v>
      </c>
    </row>
    <row r="33" spans="5:26" ht="17.25" thickBot="1" x14ac:dyDescent="0.3">
      <c r="E33" s="120"/>
      <c r="F33" s="20" t="s">
        <v>78</v>
      </c>
      <c r="G33" s="16">
        <v>0.5</v>
      </c>
      <c r="H33" s="16">
        <v>0.3</v>
      </c>
      <c r="I33" s="16">
        <v>0.7</v>
      </c>
      <c r="J33" s="16">
        <v>0.4</v>
      </c>
      <c r="K33" s="16"/>
      <c r="X33" s="39" t="s">
        <v>98</v>
      </c>
      <c r="Y33" s="31" t="s">
        <v>308</v>
      </c>
      <c r="Z33" s="20" t="s">
        <v>347</v>
      </c>
    </row>
    <row r="34" spans="5:26" ht="17.25" thickBot="1" x14ac:dyDescent="0.3">
      <c r="E34" s="121"/>
      <c r="F34" s="20" t="s">
        <v>79</v>
      </c>
      <c r="G34" s="16">
        <v>0.7</v>
      </c>
      <c r="H34" s="16">
        <v>0.4</v>
      </c>
      <c r="I34" s="16">
        <v>0.9</v>
      </c>
      <c r="J34" s="16">
        <v>0.5</v>
      </c>
      <c r="K34" s="16"/>
      <c r="O34" s="38" t="s">
        <v>392</v>
      </c>
      <c r="P34" s="35">
        <v>0.5</v>
      </c>
      <c r="Q34" s="35">
        <v>0.6</v>
      </c>
      <c r="R34" s="35">
        <v>0.7</v>
      </c>
      <c r="S34" s="35">
        <v>0.8</v>
      </c>
      <c r="T34" s="35">
        <v>0.9</v>
      </c>
      <c r="X34" s="39" t="s">
        <v>148</v>
      </c>
      <c r="Y34" s="31" t="s">
        <v>309</v>
      </c>
      <c r="Z34" s="20" t="s">
        <v>348</v>
      </c>
    </row>
    <row r="35" spans="5:26" ht="17.25" thickBot="1" x14ac:dyDescent="0.3">
      <c r="E35" s="119" t="s">
        <v>45</v>
      </c>
      <c r="F35" s="20" t="s">
        <v>80</v>
      </c>
      <c r="G35" s="16">
        <v>0.7</v>
      </c>
      <c r="H35" s="16">
        <v>0.35</v>
      </c>
      <c r="I35" s="16">
        <v>0.9</v>
      </c>
      <c r="J35" s="16">
        <v>0.5</v>
      </c>
      <c r="K35" s="16"/>
      <c r="O35" s="37" t="s">
        <v>394</v>
      </c>
      <c r="P35" s="36">
        <v>1</v>
      </c>
      <c r="Q35" s="36">
        <v>1</v>
      </c>
      <c r="R35" s="36">
        <v>1</v>
      </c>
      <c r="S35" s="36">
        <v>1</v>
      </c>
      <c r="T35" s="36">
        <v>1</v>
      </c>
      <c r="X35" s="39" t="s">
        <v>149</v>
      </c>
      <c r="Y35" s="31" t="s">
        <v>310</v>
      </c>
    </row>
    <row r="36" spans="5:26" ht="17.25" thickBot="1" x14ac:dyDescent="0.3">
      <c r="E36" s="120"/>
      <c r="F36" s="20" t="s">
        <v>81</v>
      </c>
      <c r="G36" s="16">
        <v>0.7</v>
      </c>
      <c r="H36" s="16">
        <v>0.4</v>
      </c>
      <c r="I36" s="16">
        <v>0.9</v>
      </c>
      <c r="J36" s="16">
        <v>0.5</v>
      </c>
      <c r="K36" s="16"/>
      <c r="O36" s="37" t="s">
        <v>395</v>
      </c>
      <c r="P36" s="36">
        <v>1.1000000000000001</v>
      </c>
      <c r="Q36" s="36">
        <v>1.1000000000000001</v>
      </c>
      <c r="R36" s="36">
        <v>1</v>
      </c>
      <c r="S36" s="36">
        <v>1</v>
      </c>
      <c r="T36" s="36">
        <v>1</v>
      </c>
      <c r="X36" s="39" t="s">
        <v>99</v>
      </c>
      <c r="Y36" s="31" t="s">
        <v>311</v>
      </c>
    </row>
    <row r="37" spans="5:26" ht="17.25" thickBot="1" x14ac:dyDescent="0.3">
      <c r="E37" s="120"/>
      <c r="F37" s="20" t="s">
        <v>82</v>
      </c>
      <c r="G37" s="16">
        <v>0.7</v>
      </c>
      <c r="H37" s="16">
        <v>0.35</v>
      </c>
      <c r="I37" s="16">
        <v>0.8</v>
      </c>
      <c r="J37" s="16">
        <v>0.5</v>
      </c>
      <c r="K37" s="16"/>
      <c r="O37" s="37" t="s">
        <v>396</v>
      </c>
      <c r="P37" s="36">
        <v>1.2</v>
      </c>
      <c r="Q37" s="36">
        <v>1.2</v>
      </c>
      <c r="R37" s="36">
        <v>1.1000000000000001</v>
      </c>
      <c r="S37" s="36">
        <v>1</v>
      </c>
      <c r="T37" s="36">
        <v>1</v>
      </c>
      <c r="X37" s="39" t="s">
        <v>147</v>
      </c>
      <c r="Y37" s="32" t="s">
        <v>312</v>
      </c>
    </row>
    <row r="38" spans="5:26" ht="17.25" thickBot="1" x14ac:dyDescent="0.3">
      <c r="E38" s="120"/>
      <c r="F38" s="20" t="s">
        <v>83</v>
      </c>
      <c r="G38" s="16">
        <v>0.7</v>
      </c>
      <c r="H38" s="16">
        <v>0.4</v>
      </c>
      <c r="I38" s="16">
        <v>0.9</v>
      </c>
      <c r="J38" s="16">
        <v>0.5</v>
      </c>
      <c r="K38" s="16"/>
      <c r="X38" s="39" t="s">
        <v>274</v>
      </c>
      <c r="Y38" s="31" t="s">
        <v>313</v>
      </c>
    </row>
    <row r="39" spans="5:26" ht="17.25" thickBot="1" x14ac:dyDescent="0.3">
      <c r="E39" s="120"/>
      <c r="F39" s="20" t="s">
        <v>84</v>
      </c>
      <c r="G39" s="16">
        <v>0.6</v>
      </c>
      <c r="H39" s="16">
        <v>0.35</v>
      </c>
      <c r="I39" s="16">
        <v>0.8</v>
      </c>
      <c r="J39" s="16">
        <v>0.5</v>
      </c>
      <c r="K39" s="16"/>
      <c r="O39" s="37" t="s">
        <v>392</v>
      </c>
      <c r="P39" s="35">
        <v>0.3</v>
      </c>
      <c r="Q39" s="35">
        <v>0.35</v>
      </c>
      <c r="R39" s="35">
        <v>0.4</v>
      </c>
      <c r="S39" s="35">
        <v>0.45</v>
      </c>
      <c r="T39" s="35">
        <v>0.5</v>
      </c>
      <c r="X39" s="39" t="s">
        <v>275</v>
      </c>
      <c r="Y39" s="31" t="s">
        <v>314</v>
      </c>
    </row>
    <row r="40" spans="5:26" ht="17.25" thickBot="1" x14ac:dyDescent="0.3">
      <c r="E40" s="120"/>
      <c r="F40" s="20" t="s">
        <v>85</v>
      </c>
      <c r="G40" s="16">
        <v>0.6</v>
      </c>
      <c r="H40" s="16">
        <v>0.35</v>
      </c>
      <c r="I40" s="16">
        <v>0.8</v>
      </c>
      <c r="J40" s="16">
        <v>0.45</v>
      </c>
      <c r="K40" s="16"/>
      <c r="O40" s="37" t="s">
        <v>394</v>
      </c>
      <c r="P40" s="36">
        <v>1</v>
      </c>
      <c r="Q40" s="36">
        <v>1</v>
      </c>
      <c r="R40" s="36">
        <v>1</v>
      </c>
      <c r="S40" s="36">
        <v>1</v>
      </c>
      <c r="T40" s="36">
        <v>1</v>
      </c>
    </row>
    <row r="41" spans="5:26" ht="17.25" thickBot="1" x14ac:dyDescent="0.3">
      <c r="E41" s="120"/>
      <c r="F41" s="21" t="s">
        <v>90</v>
      </c>
      <c r="G41" s="15">
        <v>0.7</v>
      </c>
      <c r="H41" s="15">
        <v>0.35</v>
      </c>
      <c r="I41" s="15">
        <v>0.9</v>
      </c>
      <c r="J41" s="15">
        <v>0.5</v>
      </c>
      <c r="K41" s="26"/>
      <c r="O41" s="37" t="s">
        <v>395</v>
      </c>
      <c r="P41" s="36">
        <v>1.5</v>
      </c>
      <c r="Q41" s="36">
        <v>1.4</v>
      </c>
      <c r="R41" s="36">
        <v>1.3</v>
      </c>
      <c r="S41" s="36">
        <v>1.2</v>
      </c>
      <c r="T41" s="36">
        <v>1.1000000000000001</v>
      </c>
    </row>
    <row r="42" spans="5:26" ht="17.25" thickBot="1" x14ac:dyDescent="0.3">
      <c r="E42" s="120"/>
      <c r="F42" s="20" t="s">
        <v>91</v>
      </c>
      <c r="G42" s="16">
        <v>0.7</v>
      </c>
      <c r="H42" s="16">
        <v>0.4</v>
      </c>
      <c r="I42" s="16">
        <v>0.9</v>
      </c>
      <c r="J42" s="16">
        <v>0.5</v>
      </c>
      <c r="K42" s="27"/>
      <c r="O42" s="37" t="s">
        <v>396</v>
      </c>
      <c r="P42" s="36">
        <v>1.8</v>
      </c>
      <c r="Q42" s="36">
        <v>1.7</v>
      </c>
      <c r="R42" s="36">
        <v>1.6</v>
      </c>
      <c r="S42" s="36">
        <v>1.5</v>
      </c>
      <c r="T42" s="36">
        <v>1.4</v>
      </c>
    </row>
    <row r="43" spans="5:26" ht="24.75" thickBot="1" x14ac:dyDescent="0.3">
      <c r="E43" s="120"/>
      <c r="F43" s="20" t="s">
        <v>92</v>
      </c>
      <c r="G43" s="16">
        <v>0.7</v>
      </c>
      <c r="H43" s="16">
        <v>0.4</v>
      </c>
      <c r="I43" s="16">
        <v>0.9</v>
      </c>
      <c r="J43" s="16">
        <v>0.55000000000000004</v>
      </c>
      <c r="K43" s="22" t="s">
        <v>93</v>
      </c>
    </row>
    <row r="44" spans="5:26" ht="24.75" thickBot="1" x14ac:dyDescent="0.3">
      <c r="E44" s="120"/>
      <c r="F44" s="20" t="s">
        <v>94</v>
      </c>
      <c r="G44" s="16">
        <v>0.7</v>
      </c>
      <c r="H44" s="16">
        <v>0.4</v>
      </c>
      <c r="I44" s="16">
        <v>0.9</v>
      </c>
      <c r="J44" s="16">
        <v>0.5</v>
      </c>
      <c r="K44" s="22" t="s">
        <v>93</v>
      </c>
    </row>
    <row r="45" spans="5:26" ht="24.75" thickBot="1" x14ac:dyDescent="0.3">
      <c r="E45" s="120"/>
      <c r="F45" s="20" t="s">
        <v>95</v>
      </c>
      <c r="G45" s="16">
        <v>0.8</v>
      </c>
      <c r="H45" s="16">
        <v>0.45</v>
      </c>
      <c r="I45" s="16">
        <v>1</v>
      </c>
      <c r="J45" s="16">
        <v>0.55000000000000004</v>
      </c>
      <c r="K45" s="22" t="s">
        <v>93</v>
      </c>
    </row>
    <row r="46" spans="5:26" ht="17.25" thickBot="1" x14ac:dyDescent="0.3">
      <c r="E46" s="120"/>
      <c r="F46" s="20" t="s">
        <v>96</v>
      </c>
      <c r="G46" s="16">
        <v>0.7</v>
      </c>
      <c r="H46" s="16">
        <v>0.4</v>
      </c>
      <c r="I46" s="16">
        <v>0.9</v>
      </c>
      <c r="J46" s="16">
        <v>0.5</v>
      </c>
      <c r="K46" s="27"/>
    </row>
    <row r="47" spans="5:26" ht="24.75" thickBot="1" x14ac:dyDescent="0.3">
      <c r="E47" s="120"/>
      <c r="F47" s="20" t="s">
        <v>97</v>
      </c>
      <c r="G47" s="16">
        <v>0.7</v>
      </c>
      <c r="H47" s="16">
        <v>0.4</v>
      </c>
      <c r="I47" s="16">
        <v>0.9</v>
      </c>
      <c r="J47" s="16">
        <v>0.5</v>
      </c>
      <c r="K47" s="22" t="s">
        <v>93</v>
      </c>
    </row>
    <row r="48" spans="5:26" ht="17.25" thickBot="1" x14ac:dyDescent="0.3">
      <c r="E48" s="120"/>
      <c r="F48" s="20" t="s">
        <v>98</v>
      </c>
      <c r="G48" s="16">
        <v>0.7</v>
      </c>
      <c r="H48" s="16">
        <v>0.4</v>
      </c>
      <c r="I48" s="16">
        <v>0.9</v>
      </c>
      <c r="J48" s="16">
        <v>0.5</v>
      </c>
      <c r="K48" s="27"/>
    </row>
    <row r="49" spans="5:11" ht="17.25" thickBot="1" x14ac:dyDescent="0.3">
      <c r="E49" s="120"/>
      <c r="F49" s="20" t="s">
        <v>99</v>
      </c>
      <c r="G49" s="16">
        <v>0.7</v>
      </c>
      <c r="H49" s="16">
        <v>0.35</v>
      </c>
      <c r="I49" s="16">
        <v>0.9</v>
      </c>
      <c r="J49" s="16">
        <v>0.5</v>
      </c>
      <c r="K49" s="27"/>
    </row>
    <row r="50" spans="5:11" ht="17.25" thickBot="1" x14ac:dyDescent="0.3">
      <c r="E50" s="121"/>
      <c r="F50" s="20" t="s">
        <v>100</v>
      </c>
      <c r="G50" s="16">
        <v>0.7</v>
      </c>
      <c r="H50" s="16">
        <v>0.4</v>
      </c>
      <c r="I50" s="16">
        <v>0.9</v>
      </c>
      <c r="J50" s="16">
        <v>0.5</v>
      </c>
      <c r="K50" s="27"/>
    </row>
    <row r="51" spans="5:11" ht="24.75" thickBot="1" x14ac:dyDescent="0.3">
      <c r="E51" s="119" t="s">
        <v>101</v>
      </c>
      <c r="F51" s="20" t="s">
        <v>102</v>
      </c>
      <c r="G51" s="16">
        <v>0.7</v>
      </c>
      <c r="H51" s="16">
        <v>0.4</v>
      </c>
      <c r="I51" s="16">
        <v>0.9</v>
      </c>
      <c r="J51" s="16">
        <v>0.5</v>
      </c>
      <c r="K51" s="22" t="s">
        <v>93</v>
      </c>
    </row>
    <row r="52" spans="5:11" ht="24.75" thickBot="1" x14ac:dyDescent="0.3">
      <c r="E52" s="120"/>
      <c r="F52" s="20" t="s">
        <v>103</v>
      </c>
      <c r="G52" s="16">
        <v>0.7</v>
      </c>
      <c r="H52" s="16">
        <v>0.4</v>
      </c>
      <c r="I52" s="16">
        <v>0.9</v>
      </c>
      <c r="J52" s="16">
        <v>0.5</v>
      </c>
      <c r="K52" s="22" t="s">
        <v>104</v>
      </c>
    </row>
    <row r="53" spans="5:11" ht="17.25" thickBot="1" x14ac:dyDescent="0.3">
      <c r="E53" s="120"/>
      <c r="F53" s="20" t="s">
        <v>105</v>
      </c>
      <c r="G53" s="16">
        <v>0.7</v>
      </c>
      <c r="H53" s="16">
        <v>0.4</v>
      </c>
      <c r="I53" s="16">
        <v>0.9</v>
      </c>
      <c r="J53" s="16">
        <v>0.5</v>
      </c>
      <c r="K53" s="22" t="s">
        <v>106</v>
      </c>
    </row>
    <row r="54" spans="5:11" ht="17.25" thickBot="1" x14ac:dyDescent="0.3">
      <c r="E54" s="120"/>
      <c r="F54" s="20" t="s">
        <v>107</v>
      </c>
      <c r="G54" s="16">
        <v>0.7</v>
      </c>
      <c r="H54" s="16">
        <v>0.4</v>
      </c>
      <c r="I54" s="16">
        <v>0.9</v>
      </c>
      <c r="J54" s="16">
        <v>0.5</v>
      </c>
      <c r="K54" s="27"/>
    </row>
    <row r="55" spans="5:11" ht="24.75" thickBot="1" x14ac:dyDescent="0.3">
      <c r="E55" s="120"/>
      <c r="F55" s="20" t="s">
        <v>108</v>
      </c>
      <c r="G55" s="16">
        <v>0.7</v>
      </c>
      <c r="H55" s="16">
        <v>0.4</v>
      </c>
      <c r="I55" s="16">
        <v>0.9</v>
      </c>
      <c r="J55" s="16">
        <v>0.5</v>
      </c>
      <c r="K55" s="22" t="s">
        <v>93</v>
      </c>
    </row>
    <row r="56" spans="5:11" ht="17.25" thickBot="1" x14ac:dyDescent="0.3">
      <c r="E56" s="120"/>
      <c r="F56" s="20" t="s">
        <v>109</v>
      </c>
      <c r="G56" s="16">
        <v>0.7</v>
      </c>
      <c r="H56" s="16">
        <v>0.4</v>
      </c>
      <c r="I56" s="16">
        <v>0.9</v>
      </c>
      <c r="J56" s="16">
        <v>0.5</v>
      </c>
      <c r="K56" s="27"/>
    </row>
    <row r="57" spans="5:11" ht="24.75" thickBot="1" x14ac:dyDescent="0.3">
      <c r="E57" s="120"/>
      <c r="F57" s="20" t="s">
        <v>110</v>
      </c>
      <c r="G57" s="16">
        <v>0.8</v>
      </c>
      <c r="H57" s="16">
        <v>0.45</v>
      </c>
      <c r="I57" s="16">
        <v>1</v>
      </c>
      <c r="J57" s="16">
        <v>0.55000000000000004</v>
      </c>
      <c r="K57" s="22" t="s">
        <v>104</v>
      </c>
    </row>
    <row r="58" spans="5:11" ht="36" x14ac:dyDescent="0.25">
      <c r="E58" s="120"/>
      <c r="F58" s="117" t="s">
        <v>111</v>
      </c>
      <c r="G58" s="129">
        <v>0.8</v>
      </c>
      <c r="H58" s="129">
        <v>0.45</v>
      </c>
      <c r="I58" s="129">
        <v>1</v>
      </c>
      <c r="J58" s="129">
        <v>0.55000000000000004</v>
      </c>
      <c r="K58" s="24" t="s">
        <v>112</v>
      </c>
    </row>
    <row r="59" spans="5:11" ht="17.25" thickBot="1" x14ac:dyDescent="0.3">
      <c r="E59" s="120"/>
      <c r="F59" s="118"/>
      <c r="G59" s="130"/>
      <c r="H59" s="130"/>
      <c r="I59" s="130"/>
      <c r="J59" s="130"/>
      <c r="K59" s="22" t="s">
        <v>113</v>
      </c>
    </row>
    <row r="60" spans="5:11" ht="24.75" thickBot="1" x14ac:dyDescent="0.3">
      <c r="E60" s="120"/>
      <c r="F60" s="20" t="s">
        <v>114</v>
      </c>
      <c r="G60" s="16">
        <v>0.8</v>
      </c>
      <c r="H60" s="16">
        <v>0.45</v>
      </c>
      <c r="I60" s="16">
        <v>1</v>
      </c>
      <c r="J60" s="16">
        <v>0.55000000000000004</v>
      </c>
      <c r="K60" s="22" t="s">
        <v>93</v>
      </c>
    </row>
    <row r="61" spans="5:11" ht="24.75" thickBot="1" x14ac:dyDescent="0.3">
      <c r="E61" s="120"/>
      <c r="F61" s="20" t="s">
        <v>115</v>
      </c>
      <c r="G61" s="16">
        <v>0.8</v>
      </c>
      <c r="H61" s="16">
        <v>0.45</v>
      </c>
      <c r="I61" s="16">
        <v>1</v>
      </c>
      <c r="J61" s="16">
        <v>0.55000000000000004</v>
      </c>
      <c r="K61" s="22" t="s">
        <v>104</v>
      </c>
    </row>
    <row r="62" spans="5:11" ht="24.75" thickBot="1" x14ac:dyDescent="0.3">
      <c r="E62" s="120"/>
      <c r="F62" s="20" t="s">
        <v>116</v>
      </c>
      <c r="G62" s="16">
        <v>0.8</v>
      </c>
      <c r="H62" s="16">
        <v>0.45</v>
      </c>
      <c r="I62" s="16">
        <v>1</v>
      </c>
      <c r="J62" s="16">
        <v>0.55000000000000004</v>
      </c>
      <c r="K62" s="22" t="s">
        <v>93</v>
      </c>
    </row>
    <row r="63" spans="5:11" ht="24.75" thickBot="1" x14ac:dyDescent="0.3">
      <c r="E63" s="120"/>
      <c r="F63" s="20" t="s">
        <v>117</v>
      </c>
      <c r="G63" s="16">
        <v>0.8</v>
      </c>
      <c r="H63" s="16">
        <v>0.45</v>
      </c>
      <c r="I63" s="16">
        <v>1</v>
      </c>
      <c r="J63" s="16">
        <v>0.55000000000000004</v>
      </c>
      <c r="K63" s="22" t="s">
        <v>93</v>
      </c>
    </row>
    <row r="64" spans="5:11" ht="24.75" thickBot="1" x14ac:dyDescent="0.3">
      <c r="E64" s="120"/>
      <c r="F64" s="20" t="s">
        <v>118</v>
      </c>
      <c r="G64" s="16">
        <v>0.8</v>
      </c>
      <c r="H64" s="16">
        <v>0.45</v>
      </c>
      <c r="I64" s="16">
        <v>1</v>
      </c>
      <c r="J64" s="16">
        <v>0.55000000000000004</v>
      </c>
      <c r="K64" s="22" t="s">
        <v>104</v>
      </c>
    </row>
    <row r="65" spans="5:11" ht="17.25" thickBot="1" x14ac:dyDescent="0.3">
      <c r="E65" s="120"/>
      <c r="F65" s="20" t="s">
        <v>119</v>
      </c>
      <c r="G65" s="16">
        <v>0.7</v>
      </c>
      <c r="H65" s="16">
        <v>0.4</v>
      </c>
      <c r="I65" s="16">
        <v>0.9</v>
      </c>
      <c r="J65" s="16">
        <v>0.5</v>
      </c>
      <c r="K65" s="27"/>
    </row>
    <row r="66" spans="5:11" ht="24.75" thickBot="1" x14ac:dyDescent="0.3">
      <c r="E66" s="120"/>
      <c r="F66" s="20" t="s">
        <v>120</v>
      </c>
      <c r="G66" s="16">
        <v>0.8</v>
      </c>
      <c r="H66" s="16">
        <v>0.45</v>
      </c>
      <c r="I66" s="16">
        <v>1</v>
      </c>
      <c r="J66" s="16">
        <v>0.55000000000000004</v>
      </c>
      <c r="K66" s="22" t="s">
        <v>93</v>
      </c>
    </row>
    <row r="67" spans="5:11" ht="24.75" thickBot="1" x14ac:dyDescent="0.3">
      <c r="E67" s="120"/>
      <c r="F67" s="20" t="s">
        <v>121</v>
      </c>
      <c r="G67" s="16">
        <v>0.8</v>
      </c>
      <c r="H67" s="16">
        <v>0.45</v>
      </c>
      <c r="I67" s="16">
        <v>1</v>
      </c>
      <c r="J67" s="16">
        <v>0.55000000000000004</v>
      </c>
      <c r="K67" s="22" t="s">
        <v>93</v>
      </c>
    </row>
    <row r="68" spans="5:11" ht="24.75" thickBot="1" x14ac:dyDescent="0.3">
      <c r="E68" s="120"/>
      <c r="F68" s="20" t="s">
        <v>122</v>
      </c>
      <c r="G68" s="16">
        <v>0.8</v>
      </c>
      <c r="H68" s="16">
        <v>0.45</v>
      </c>
      <c r="I68" s="16">
        <v>1</v>
      </c>
      <c r="J68" s="16">
        <v>0.55000000000000004</v>
      </c>
      <c r="K68" s="22" t="s">
        <v>93</v>
      </c>
    </row>
    <row r="69" spans="5:11" ht="36.75" thickBot="1" x14ac:dyDescent="0.3">
      <c r="E69" s="121"/>
      <c r="F69" s="20" t="s">
        <v>123</v>
      </c>
      <c r="G69" s="16">
        <v>0.7</v>
      </c>
      <c r="H69" s="16">
        <v>0.4</v>
      </c>
      <c r="I69" s="16">
        <v>0.9</v>
      </c>
      <c r="J69" s="16">
        <v>0.5</v>
      </c>
      <c r="K69" s="22" t="s">
        <v>124</v>
      </c>
    </row>
    <row r="70" spans="5:11" ht="24.75" thickBot="1" x14ac:dyDescent="0.3">
      <c r="E70" s="119" t="s">
        <v>125</v>
      </c>
      <c r="F70" s="20" t="s">
        <v>126</v>
      </c>
      <c r="G70" s="16">
        <v>0.8</v>
      </c>
      <c r="H70" s="16">
        <v>0.45</v>
      </c>
      <c r="I70" s="16">
        <v>1</v>
      </c>
      <c r="J70" s="16">
        <v>0.55000000000000004</v>
      </c>
      <c r="K70" s="22" t="s">
        <v>104</v>
      </c>
    </row>
    <row r="71" spans="5:11" ht="24.75" thickBot="1" x14ac:dyDescent="0.3">
      <c r="E71" s="120"/>
      <c r="F71" s="20" t="s">
        <v>127</v>
      </c>
      <c r="G71" s="16">
        <v>0.8</v>
      </c>
      <c r="H71" s="16">
        <v>0.45</v>
      </c>
      <c r="I71" s="16">
        <v>1</v>
      </c>
      <c r="J71" s="16">
        <v>0.55000000000000004</v>
      </c>
      <c r="K71" s="22" t="s">
        <v>104</v>
      </c>
    </row>
    <row r="72" spans="5:11" ht="17.25" thickBot="1" x14ac:dyDescent="0.3">
      <c r="E72" s="120"/>
      <c r="F72" s="20" t="s">
        <v>128</v>
      </c>
      <c r="G72" s="16">
        <v>0.7</v>
      </c>
      <c r="H72" s="16">
        <v>0.4</v>
      </c>
      <c r="I72" s="16">
        <v>0.9</v>
      </c>
      <c r="J72" s="16">
        <v>0.5</v>
      </c>
      <c r="K72" s="22" t="s">
        <v>106</v>
      </c>
    </row>
    <row r="73" spans="5:11" ht="17.25" thickBot="1" x14ac:dyDescent="0.3">
      <c r="E73" s="120"/>
      <c r="F73" s="20" t="s">
        <v>129</v>
      </c>
      <c r="G73" s="16">
        <v>0.8</v>
      </c>
      <c r="H73" s="16">
        <v>0.45</v>
      </c>
      <c r="I73" s="16">
        <v>1</v>
      </c>
      <c r="J73" s="16">
        <v>0.55000000000000004</v>
      </c>
      <c r="K73" s="22" t="s">
        <v>106</v>
      </c>
    </row>
    <row r="74" spans="5:11" ht="17.25" thickBot="1" x14ac:dyDescent="0.3">
      <c r="E74" s="120"/>
      <c r="F74" s="20" t="s">
        <v>130</v>
      </c>
      <c r="G74" s="16">
        <v>0.8</v>
      </c>
      <c r="H74" s="16">
        <v>0.45</v>
      </c>
      <c r="I74" s="16">
        <v>1</v>
      </c>
      <c r="J74" s="16">
        <v>0.55000000000000004</v>
      </c>
      <c r="K74" s="22" t="s">
        <v>106</v>
      </c>
    </row>
    <row r="75" spans="5:11" ht="17.25" thickBot="1" x14ac:dyDescent="0.3">
      <c r="E75" s="120"/>
      <c r="F75" s="20" t="s">
        <v>131</v>
      </c>
      <c r="G75" s="16">
        <v>0.7</v>
      </c>
      <c r="H75" s="16">
        <v>0.4</v>
      </c>
      <c r="I75" s="16">
        <v>0.9</v>
      </c>
      <c r="J75" s="16">
        <v>0.5</v>
      </c>
      <c r="K75" s="22" t="s">
        <v>106</v>
      </c>
    </row>
    <row r="76" spans="5:11" ht="24.75" thickBot="1" x14ac:dyDescent="0.3">
      <c r="E76" s="120"/>
      <c r="F76" s="20" t="s">
        <v>132</v>
      </c>
      <c r="G76" s="16">
        <v>0.8</v>
      </c>
      <c r="H76" s="16">
        <v>0.45</v>
      </c>
      <c r="I76" s="16">
        <v>1</v>
      </c>
      <c r="J76" s="16">
        <v>0.55000000000000004</v>
      </c>
      <c r="K76" s="22" t="s">
        <v>104</v>
      </c>
    </row>
    <row r="77" spans="5:11" ht="24.75" thickBot="1" x14ac:dyDescent="0.3">
      <c r="E77" s="120"/>
      <c r="F77" s="20" t="s">
        <v>133</v>
      </c>
      <c r="G77" s="16">
        <v>0.8</v>
      </c>
      <c r="H77" s="16">
        <v>0.45</v>
      </c>
      <c r="I77" s="16">
        <v>1</v>
      </c>
      <c r="J77" s="16">
        <v>0.55000000000000004</v>
      </c>
      <c r="K77" s="22" t="s">
        <v>104</v>
      </c>
    </row>
    <row r="78" spans="5:11" ht="24.75" thickBot="1" x14ac:dyDescent="0.3">
      <c r="E78" s="120"/>
      <c r="F78" s="20" t="s">
        <v>134</v>
      </c>
      <c r="G78" s="16">
        <v>0.8</v>
      </c>
      <c r="H78" s="16">
        <v>0.45</v>
      </c>
      <c r="I78" s="16">
        <v>1</v>
      </c>
      <c r="J78" s="16">
        <v>0.55000000000000004</v>
      </c>
      <c r="K78" s="22" t="s">
        <v>104</v>
      </c>
    </row>
    <row r="79" spans="5:11" ht="24.75" thickBot="1" x14ac:dyDescent="0.3">
      <c r="E79" s="120"/>
      <c r="F79" s="20" t="s">
        <v>135</v>
      </c>
      <c r="G79" s="16">
        <v>0.8</v>
      </c>
      <c r="H79" s="16">
        <v>0.45</v>
      </c>
      <c r="I79" s="16">
        <v>1</v>
      </c>
      <c r="J79" s="16">
        <v>0.55000000000000004</v>
      </c>
      <c r="K79" s="22" t="s">
        <v>104</v>
      </c>
    </row>
    <row r="80" spans="5:11" ht="24.75" thickBot="1" x14ac:dyDescent="0.3">
      <c r="E80" s="120"/>
      <c r="F80" s="20" t="s">
        <v>136</v>
      </c>
      <c r="G80" s="16">
        <v>0.8</v>
      </c>
      <c r="H80" s="16">
        <v>0.45</v>
      </c>
      <c r="I80" s="16">
        <v>1</v>
      </c>
      <c r="J80" s="16">
        <v>0.55000000000000004</v>
      </c>
      <c r="K80" s="22" t="s">
        <v>104</v>
      </c>
    </row>
    <row r="81" spans="5:11" ht="24.75" thickBot="1" x14ac:dyDescent="0.3">
      <c r="E81" s="120"/>
      <c r="F81" s="20" t="s">
        <v>137</v>
      </c>
      <c r="G81" s="16">
        <v>0.8</v>
      </c>
      <c r="H81" s="16">
        <v>0.45</v>
      </c>
      <c r="I81" s="16">
        <v>1</v>
      </c>
      <c r="J81" s="16">
        <v>0.55000000000000004</v>
      </c>
      <c r="K81" s="22" t="s">
        <v>104</v>
      </c>
    </row>
    <row r="82" spans="5:11" ht="24.75" thickBot="1" x14ac:dyDescent="0.3">
      <c r="E82" s="120"/>
      <c r="F82" s="20" t="s">
        <v>138</v>
      </c>
      <c r="G82" s="16">
        <v>0.7</v>
      </c>
      <c r="H82" s="16">
        <v>0.4</v>
      </c>
      <c r="I82" s="16">
        <v>0.9</v>
      </c>
      <c r="J82" s="16">
        <v>0.5</v>
      </c>
      <c r="K82" s="22" t="s">
        <v>104</v>
      </c>
    </row>
    <row r="83" spans="5:11" ht="24.75" thickBot="1" x14ac:dyDescent="0.3">
      <c r="E83" s="120"/>
      <c r="F83" s="21" t="s">
        <v>139</v>
      </c>
      <c r="G83" s="15">
        <v>0.7</v>
      </c>
      <c r="H83" s="15">
        <v>0.4</v>
      </c>
      <c r="I83" s="15">
        <v>0.9</v>
      </c>
      <c r="J83" s="15">
        <v>0.5</v>
      </c>
      <c r="K83" s="25" t="s">
        <v>104</v>
      </c>
    </row>
    <row r="84" spans="5:11" ht="17.25" thickBot="1" x14ac:dyDescent="0.3">
      <c r="E84" s="120"/>
      <c r="F84" s="20" t="s">
        <v>140</v>
      </c>
      <c r="G84" s="16">
        <v>0.7</v>
      </c>
      <c r="H84" s="16">
        <v>0.4</v>
      </c>
      <c r="I84" s="16">
        <v>0.9</v>
      </c>
      <c r="J84" s="16">
        <v>0.5</v>
      </c>
      <c r="K84" s="22" t="s">
        <v>113</v>
      </c>
    </row>
    <row r="85" spans="5:11" ht="17.25" thickBot="1" x14ac:dyDescent="0.3">
      <c r="E85" s="120"/>
      <c r="F85" s="20" t="s">
        <v>141</v>
      </c>
      <c r="G85" s="16">
        <v>0.7</v>
      </c>
      <c r="H85" s="16">
        <v>0.4</v>
      </c>
      <c r="I85" s="16">
        <v>0.9</v>
      </c>
      <c r="J85" s="16">
        <v>0.5</v>
      </c>
      <c r="K85" s="27"/>
    </row>
    <row r="86" spans="5:11" ht="17.25" thickBot="1" x14ac:dyDescent="0.3">
      <c r="E86" s="120"/>
      <c r="F86" s="20" t="s">
        <v>142</v>
      </c>
      <c r="G86" s="16">
        <v>0.7</v>
      </c>
      <c r="H86" s="16">
        <v>0.4</v>
      </c>
      <c r="I86" s="16">
        <v>0.9</v>
      </c>
      <c r="J86" s="16">
        <v>0.5</v>
      </c>
      <c r="K86" s="22" t="s">
        <v>106</v>
      </c>
    </row>
    <row r="87" spans="5:11" ht="17.25" thickBot="1" x14ac:dyDescent="0.3">
      <c r="E87" s="120"/>
      <c r="F87" s="20" t="s">
        <v>143</v>
      </c>
      <c r="G87" s="16">
        <v>0.8</v>
      </c>
      <c r="H87" s="16">
        <v>0.45</v>
      </c>
      <c r="I87" s="16">
        <v>1</v>
      </c>
      <c r="J87" s="16">
        <v>0.55000000000000004</v>
      </c>
      <c r="K87" s="22" t="s">
        <v>113</v>
      </c>
    </row>
    <row r="88" spans="5:11" ht="17.25" thickBot="1" x14ac:dyDescent="0.3">
      <c r="E88" s="120"/>
      <c r="F88" s="20" t="s">
        <v>144</v>
      </c>
      <c r="G88" s="16">
        <v>0.8</v>
      </c>
      <c r="H88" s="16">
        <v>0.45</v>
      </c>
      <c r="I88" s="16">
        <v>1</v>
      </c>
      <c r="J88" s="16">
        <v>0.55000000000000004</v>
      </c>
      <c r="K88" s="22" t="s">
        <v>113</v>
      </c>
    </row>
    <row r="89" spans="5:11" ht="17.25" thickBot="1" x14ac:dyDescent="0.3">
      <c r="E89" s="120"/>
      <c r="F89" s="20" t="s">
        <v>145</v>
      </c>
      <c r="G89" s="16">
        <v>0.8</v>
      </c>
      <c r="H89" s="16">
        <v>0.45</v>
      </c>
      <c r="I89" s="16">
        <v>1</v>
      </c>
      <c r="J89" s="16">
        <v>0.55000000000000004</v>
      </c>
      <c r="K89" s="22" t="s">
        <v>113</v>
      </c>
    </row>
    <row r="90" spans="5:11" ht="17.25" thickBot="1" x14ac:dyDescent="0.3">
      <c r="E90" s="120"/>
      <c r="F90" s="20" t="s">
        <v>146</v>
      </c>
      <c r="G90" s="16">
        <v>0.7</v>
      </c>
      <c r="H90" s="16">
        <v>0.4</v>
      </c>
      <c r="I90" s="16">
        <v>0.9</v>
      </c>
      <c r="J90" s="16">
        <v>0.5</v>
      </c>
      <c r="K90" s="22" t="s">
        <v>113</v>
      </c>
    </row>
    <row r="91" spans="5:11" ht="17.25" thickBot="1" x14ac:dyDescent="0.3">
      <c r="E91" s="120"/>
      <c r="F91" s="20" t="s">
        <v>147</v>
      </c>
      <c r="G91" s="16">
        <v>0.8</v>
      </c>
      <c r="H91" s="16">
        <v>0.45</v>
      </c>
      <c r="I91" s="16">
        <v>1</v>
      </c>
      <c r="J91" s="16">
        <v>0.5</v>
      </c>
      <c r="K91" s="22" t="s">
        <v>113</v>
      </c>
    </row>
    <row r="92" spans="5:11" ht="17.25" thickBot="1" x14ac:dyDescent="0.3">
      <c r="E92" s="120"/>
      <c r="F92" s="20" t="s">
        <v>98</v>
      </c>
      <c r="G92" s="16">
        <v>0.8</v>
      </c>
      <c r="H92" s="16">
        <v>0.45</v>
      </c>
      <c r="I92" s="16">
        <v>1</v>
      </c>
      <c r="J92" s="16">
        <v>0.55000000000000004</v>
      </c>
      <c r="K92" s="22" t="s">
        <v>113</v>
      </c>
    </row>
    <row r="93" spans="5:11" ht="17.25" thickBot="1" x14ac:dyDescent="0.3">
      <c r="E93" s="120"/>
      <c r="F93" s="20" t="s">
        <v>148</v>
      </c>
      <c r="G93" s="16">
        <v>0.7</v>
      </c>
      <c r="H93" s="16">
        <v>0.45</v>
      </c>
      <c r="I93" s="16">
        <v>1</v>
      </c>
      <c r="J93" s="16">
        <v>0.5</v>
      </c>
      <c r="K93" s="22" t="s">
        <v>113</v>
      </c>
    </row>
    <row r="94" spans="5:11" ht="17.25" thickBot="1" x14ac:dyDescent="0.3">
      <c r="E94" s="120"/>
      <c r="F94" s="20" t="s">
        <v>149</v>
      </c>
      <c r="G94" s="16">
        <v>0.8</v>
      </c>
      <c r="H94" s="16">
        <v>0.45</v>
      </c>
      <c r="I94" s="16">
        <v>1</v>
      </c>
      <c r="J94" s="16">
        <v>0.5</v>
      </c>
      <c r="K94" s="22" t="s">
        <v>113</v>
      </c>
    </row>
    <row r="95" spans="5:11" ht="17.25" thickBot="1" x14ac:dyDescent="0.3">
      <c r="E95" s="120"/>
      <c r="F95" s="20" t="s">
        <v>99</v>
      </c>
      <c r="G95" s="16">
        <v>0.8</v>
      </c>
      <c r="H95" s="16">
        <v>0.45</v>
      </c>
      <c r="I95" s="16">
        <v>1</v>
      </c>
      <c r="J95" s="16">
        <v>0.5</v>
      </c>
      <c r="K95" s="22" t="s">
        <v>113</v>
      </c>
    </row>
    <row r="96" spans="5:11" ht="24.75" thickBot="1" x14ac:dyDescent="0.3">
      <c r="E96" s="120"/>
      <c r="F96" s="20" t="s">
        <v>150</v>
      </c>
      <c r="G96" s="16">
        <v>0.7</v>
      </c>
      <c r="H96" s="16">
        <v>0.4</v>
      </c>
      <c r="I96" s="16">
        <v>0.9</v>
      </c>
      <c r="J96" s="16">
        <v>0.5</v>
      </c>
      <c r="K96" s="22" t="s">
        <v>104</v>
      </c>
    </row>
    <row r="97" spans="5:11" ht="17.25" thickBot="1" x14ac:dyDescent="0.3">
      <c r="E97" s="120"/>
      <c r="F97" s="20" t="s">
        <v>151</v>
      </c>
      <c r="G97" s="16">
        <v>0.7</v>
      </c>
      <c r="H97" s="16">
        <v>0.4</v>
      </c>
      <c r="I97" s="16">
        <v>0.9</v>
      </c>
      <c r="J97" s="16">
        <v>0.5</v>
      </c>
      <c r="K97" s="22" t="s">
        <v>113</v>
      </c>
    </row>
    <row r="98" spans="5:11" ht="24.75" thickBot="1" x14ac:dyDescent="0.3">
      <c r="E98" s="121"/>
      <c r="F98" s="20" t="s">
        <v>152</v>
      </c>
      <c r="G98" s="16">
        <v>0.8</v>
      </c>
      <c r="H98" s="16">
        <v>0.45</v>
      </c>
      <c r="I98" s="16">
        <v>1</v>
      </c>
      <c r="J98" s="16">
        <v>0.55000000000000004</v>
      </c>
      <c r="K98" s="22" t="s">
        <v>104</v>
      </c>
    </row>
    <row r="99" spans="5:11" ht="17.25" thickBot="1" x14ac:dyDescent="0.3">
      <c r="E99" s="119" t="s">
        <v>153</v>
      </c>
      <c r="F99" s="20" t="s">
        <v>154</v>
      </c>
      <c r="G99" s="16">
        <v>0.7</v>
      </c>
      <c r="H99" s="16">
        <v>0.4</v>
      </c>
      <c r="I99" s="16">
        <v>0.9</v>
      </c>
      <c r="J99" s="16">
        <v>0.5</v>
      </c>
      <c r="K99" s="22" t="s">
        <v>113</v>
      </c>
    </row>
    <row r="100" spans="5:11" ht="17.25" thickBot="1" x14ac:dyDescent="0.3">
      <c r="E100" s="120"/>
      <c r="F100" s="20" t="s">
        <v>155</v>
      </c>
      <c r="G100" s="16">
        <v>0.7</v>
      </c>
      <c r="H100" s="16">
        <v>0.4</v>
      </c>
      <c r="I100" s="16">
        <v>0.9</v>
      </c>
      <c r="J100" s="16">
        <v>0.5</v>
      </c>
      <c r="K100" s="27"/>
    </row>
    <row r="101" spans="5:11" ht="17.25" thickBot="1" x14ac:dyDescent="0.3">
      <c r="E101" s="120"/>
      <c r="F101" s="20" t="s">
        <v>156</v>
      </c>
      <c r="G101" s="16">
        <v>0.7</v>
      </c>
      <c r="H101" s="16">
        <v>0.4</v>
      </c>
      <c r="I101" s="16">
        <v>0.9</v>
      </c>
      <c r="J101" s="16">
        <v>0.5</v>
      </c>
      <c r="K101" s="27"/>
    </row>
    <row r="102" spans="5:11" ht="17.25" thickBot="1" x14ac:dyDescent="0.3">
      <c r="E102" s="120"/>
      <c r="F102" s="20" t="s">
        <v>157</v>
      </c>
      <c r="G102" s="16">
        <v>0.7</v>
      </c>
      <c r="H102" s="16">
        <v>0.4</v>
      </c>
      <c r="I102" s="16">
        <v>0.9</v>
      </c>
      <c r="J102" s="16">
        <v>0.5</v>
      </c>
      <c r="K102" s="27"/>
    </row>
    <row r="103" spans="5:11" ht="17.25" thickBot="1" x14ac:dyDescent="0.3">
      <c r="E103" s="120"/>
      <c r="F103" s="20" t="s">
        <v>158</v>
      </c>
      <c r="G103" s="16">
        <v>0.7</v>
      </c>
      <c r="H103" s="16">
        <v>0.4</v>
      </c>
      <c r="I103" s="16">
        <v>0.9</v>
      </c>
      <c r="J103" s="16">
        <v>0.5</v>
      </c>
      <c r="K103" s="27"/>
    </row>
    <row r="104" spans="5:11" ht="17.25" thickBot="1" x14ac:dyDescent="0.3">
      <c r="E104" s="120"/>
      <c r="F104" s="20" t="s">
        <v>159</v>
      </c>
      <c r="G104" s="16">
        <v>0.7</v>
      </c>
      <c r="H104" s="16">
        <v>0.4</v>
      </c>
      <c r="I104" s="16">
        <v>0.9</v>
      </c>
      <c r="J104" s="16">
        <v>0.5</v>
      </c>
      <c r="K104" s="27"/>
    </row>
    <row r="105" spans="5:11" ht="17.25" thickBot="1" x14ac:dyDescent="0.3">
      <c r="E105" s="120"/>
      <c r="F105" s="20" t="s">
        <v>160</v>
      </c>
      <c r="G105" s="16">
        <v>0.7</v>
      </c>
      <c r="H105" s="16">
        <v>0.4</v>
      </c>
      <c r="I105" s="16">
        <v>0.9</v>
      </c>
      <c r="J105" s="16">
        <v>0.5</v>
      </c>
      <c r="K105" s="27"/>
    </row>
    <row r="106" spans="5:11" ht="17.25" thickBot="1" x14ac:dyDescent="0.3">
      <c r="E106" s="120"/>
      <c r="F106" s="20" t="s">
        <v>161</v>
      </c>
      <c r="G106" s="16">
        <v>0.7</v>
      </c>
      <c r="H106" s="16">
        <v>0.4</v>
      </c>
      <c r="I106" s="16">
        <v>0.9</v>
      </c>
      <c r="J106" s="16">
        <v>0.5</v>
      </c>
      <c r="K106" s="22" t="s">
        <v>113</v>
      </c>
    </row>
    <row r="107" spans="5:11" ht="17.25" thickBot="1" x14ac:dyDescent="0.3">
      <c r="E107" s="120"/>
      <c r="F107" s="20" t="s">
        <v>162</v>
      </c>
      <c r="G107" s="16">
        <v>0.7</v>
      </c>
      <c r="H107" s="16">
        <v>0.4</v>
      </c>
      <c r="I107" s="16">
        <v>0.9</v>
      </c>
      <c r="J107" s="16">
        <v>0.5</v>
      </c>
      <c r="K107" s="22" t="s">
        <v>113</v>
      </c>
    </row>
    <row r="108" spans="5:11" ht="17.25" thickBot="1" x14ac:dyDescent="0.3">
      <c r="E108" s="120"/>
      <c r="F108" s="20" t="s">
        <v>163</v>
      </c>
      <c r="G108" s="16">
        <v>0.7</v>
      </c>
      <c r="H108" s="16">
        <v>0.4</v>
      </c>
      <c r="I108" s="16">
        <v>0.9</v>
      </c>
      <c r="J108" s="16">
        <v>0.5</v>
      </c>
      <c r="K108" s="22" t="s">
        <v>113</v>
      </c>
    </row>
    <row r="109" spans="5:11" ht="17.25" thickBot="1" x14ac:dyDescent="0.3">
      <c r="E109" s="120"/>
      <c r="F109" s="20" t="s">
        <v>164</v>
      </c>
      <c r="G109" s="16">
        <v>0.7</v>
      </c>
      <c r="H109" s="16">
        <v>0.4</v>
      </c>
      <c r="I109" s="16">
        <v>0.9</v>
      </c>
      <c r="J109" s="16">
        <v>0.5</v>
      </c>
      <c r="K109" s="27"/>
    </row>
    <row r="110" spans="5:11" ht="17.25" thickBot="1" x14ac:dyDescent="0.3">
      <c r="E110" s="120"/>
      <c r="F110" s="20" t="s">
        <v>165</v>
      </c>
      <c r="G110" s="16">
        <v>0.7</v>
      </c>
      <c r="H110" s="16">
        <v>0.4</v>
      </c>
      <c r="I110" s="16">
        <v>0.9</v>
      </c>
      <c r="J110" s="16">
        <v>0.5</v>
      </c>
      <c r="K110" s="22" t="s">
        <v>113</v>
      </c>
    </row>
    <row r="111" spans="5:11" ht="17.25" thickBot="1" x14ac:dyDescent="0.3">
      <c r="E111" s="120"/>
      <c r="F111" s="20" t="s">
        <v>166</v>
      </c>
      <c r="G111" s="16">
        <v>0.7</v>
      </c>
      <c r="H111" s="16">
        <v>0.4</v>
      </c>
      <c r="I111" s="16">
        <v>0.9</v>
      </c>
      <c r="J111" s="16">
        <v>0.5</v>
      </c>
      <c r="K111" s="22" t="s">
        <v>113</v>
      </c>
    </row>
    <row r="112" spans="5:11" ht="17.25" thickBot="1" x14ac:dyDescent="0.3">
      <c r="E112" s="120"/>
      <c r="F112" s="20" t="s">
        <v>167</v>
      </c>
      <c r="G112" s="16">
        <v>0.7</v>
      </c>
      <c r="H112" s="16">
        <v>0.4</v>
      </c>
      <c r="I112" s="16">
        <v>0.9</v>
      </c>
      <c r="J112" s="16">
        <v>0.5</v>
      </c>
      <c r="K112" s="27"/>
    </row>
    <row r="113" spans="5:11" ht="17.25" thickBot="1" x14ac:dyDescent="0.3">
      <c r="E113" s="120"/>
      <c r="F113" s="20" t="s">
        <v>168</v>
      </c>
      <c r="G113" s="16">
        <v>0.7</v>
      </c>
      <c r="H113" s="16">
        <v>0.4</v>
      </c>
      <c r="I113" s="16">
        <v>0.9</v>
      </c>
      <c r="J113" s="16">
        <v>0.5</v>
      </c>
      <c r="K113" s="27"/>
    </row>
    <row r="114" spans="5:11" ht="17.25" thickBot="1" x14ac:dyDescent="0.3">
      <c r="E114" s="120"/>
      <c r="F114" s="20" t="s">
        <v>169</v>
      </c>
      <c r="G114" s="16">
        <v>0.7</v>
      </c>
      <c r="H114" s="16">
        <v>0.4</v>
      </c>
      <c r="I114" s="16">
        <v>0.9</v>
      </c>
      <c r="J114" s="16">
        <v>0.5</v>
      </c>
      <c r="K114" s="27"/>
    </row>
    <row r="115" spans="5:11" ht="17.25" thickBot="1" x14ac:dyDescent="0.3">
      <c r="E115" s="120"/>
      <c r="F115" s="20" t="s">
        <v>170</v>
      </c>
      <c r="G115" s="16">
        <v>0.7</v>
      </c>
      <c r="H115" s="16">
        <v>0.4</v>
      </c>
      <c r="I115" s="16">
        <v>0.9</v>
      </c>
      <c r="J115" s="16">
        <v>0.5</v>
      </c>
      <c r="K115" s="22" t="s">
        <v>113</v>
      </c>
    </row>
    <row r="116" spans="5:11" ht="17.25" thickBot="1" x14ac:dyDescent="0.3">
      <c r="E116" s="120"/>
      <c r="F116" s="20" t="s">
        <v>171</v>
      </c>
      <c r="G116" s="16">
        <v>0.8</v>
      </c>
      <c r="H116" s="16">
        <v>0.45</v>
      </c>
      <c r="I116" s="16">
        <v>1</v>
      </c>
      <c r="J116" s="16">
        <v>0.55000000000000004</v>
      </c>
      <c r="K116" s="22" t="s">
        <v>113</v>
      </c>
    </row>
    <row r="117" spans="5:11" ht="17.25" thickBot="1" x14ac:dyDescent="0.3">
      <c r="E117" s="120"/>
      <c r="F117" s="20" t="s">
        <v>172</v>
      </c>
      <c r="G117" s="16">
        <v>0.7</v>
      </c>
      <c r="H117" s="16">
        <v>0.4</v>
      </c>
      <c r="I117" s="16">
        <v>0.9</v>
      </c>
      <c r="J117" s="16">
        <v>0.5</v>
      </c>
      <c r="K117" s="27"/>
    </row>
    <row r="118" spans="5:11" ht="17.25" thickBot="1" x14ac:dyDescent="0.3">
      <c r="E118" s="120"/>
      <c r="F118" s="20" t="s">
        <v>173</v>
      </c>
      <c r="G118" s="16">
        <v>0.7</v>
      </c>
      <c r="H118" s="16">
        <v>0.4</v>
      </c>
      <c r="I118" s="16">
        <v>0.9</v>
      </c>
      <c r="J118" s="16">
        <v>0.5</v>
      </c>
      <c r="K118" s="27"/>
    </row>
    <row r="119" spans="5:11" ht="17.25" thickBot="1" x14ac:dyDescent="0.3">
      <c r="E119" s="120"/>
      <c r="F119" s="20" t="s">
        <v>174</v>
      </c>
      <c r="G119" s="16">
        <v>0.7</v>
      </c>
      <c r="H119" s="16">
        <v>0.4</v>
      </c>
      <c r="I119" s="16">
        <v>0.9</v>
      </c>
      <c r="J119" s="16">
        <v>0.5</v>
      </c>
      <c r="K119" s="27"/>
    </row>
    <row r="120" spans="5:11" ht="17.25" thickBot="1" x14ac:dyDescent="0.3">
      <c r="E120" s="120"/>
      <c r="F120" s="20" t="s">
        <v>175</v>
      </c>
      <c r="G120" s="16">
        <v>0.7</v>
      </c>
      <c r="H120" s="16">
        <v>0.4</v>
      </c>
      <c r="I120" s="16">
        <v>0.9</v>
      </c>
      <c r="J120" s="16">
        <v>0.5</v>
      </c>
      <c r="K120" s="27"/>
    </row>
    <row r="121" spans="5:11" ht="17.25" thickBot="1" x14ac:dyDescent="0.3">
      <c r="E121" s="120"/>
      <c r="F121" s="20" t="s">
        <v>176</v>
      </c>
      <c r="G121" s="16">
        <v>0.7</v>
      </c>
      <c r="H121" s="16">
        <v>0.4</v>
      </c>
      <c r="I121" s="16">
        <v>0.9</v>
      </c>
      <c r="J121" s="16">
        <v>0.5</v>
      </c>
      <c r="K121" s="27"/>
    </row>
    <row r="122" spans="5:11" ht="17.25" thickBot="1" x14ac:dyDescent="0.3">
      <c r="E122" s="120"/>
      <c r="F122" s="20" t="s">
        <v>177</v>
      </c>
      <c r="G122" s="16">
        <v>0.7</v>
      </c>
      <c r="H122" s="16">
        <v>0.4</v>
      </c>
      <c r="I122" s="16">
        <v>0.9</v>
      </c>
      <c r="J122" s="16">
        <v>0.5</v>
      </c>
      <c r="K122" s="27"/>
    </row>
    <row r="123" spans="5:11" ht="17.25" thickBot="1" x14ac:dyDescent="0.3">
      <c r="E123" s="120"/>
      <c r="F123" s="20" t="s">
        <v>178</v>
      </c>
      <c r="G123" s="16">
        <v>0.7</v>
      </c>
      <c r="H123" s="16">
        <v>0.4</v>
      </c>
      <c r="I123" s="16">
        <v>0.9</v>
      </c>
      <c r="J123" s="16">
        <v>0.5</v>
      </c>
      <c r="K123" s="27"/>
    </row>
    <row r="124" spans="5:11" ht="17.25" thickBot="1" x14ac:dyDescent="0.3">
      <c r="E124" s="121"/>
      <c r="F124" s="20" t="s">
        <v>179</v>
      </c>
      <c r="G124" s="16">
        <v>0.7</v>
      </c>
      <c r="H124" s="16">
        <v>0.4</v>
      </c>
      <c r="I124" s="16">
        <v>0.9</v>
      </c>
      <c r="J124" s="16">
        <v>0.5</v>
      </c>
      <c r="K124" s="27"/>
    </row>
    <row r="125" spans="5:11" ht="17.25" thickBot="1" x14ac:dyDescent="0.3">
      <c r="E125" s="119" t="s">
        <v>180</v>
      </c>
      <c r="F125" s="21" t="s">
        <v>181</v>
      </c>
      <c r="G125" s="15">
        <v>0.8</v>
      </c>
      <c r="H125" s="15">
        <v>0.45</v>
      </c>
      <c r="I125" s="15">
        <v>1</v>
      </c>
      <c r="J125" s="15">
        <v>0.55000000000000004</v>
      </c>
      <c r="K125" s="25" t="s">
        <v>113</v>
      </c>
    </row>
    <row r="126" spans="5:11" ht="17.25" thickBot="1" x14ac:dyDescent="0.3">
      <c r="E126" s="120"/>
      <c r="F126" s="20" t="s">
        <v>182</v>
      </c>
      <c r="G126" s="16">
        <v>0.7</v>
      </c>
      <c r="H126" s="16">
        <v>0.4</v>
      </c>
      <c r="I126" s="16">
        <v>0.9</v>
      </c>
      <c r="J126" s="16">
        <v>0.5</v>
      </c>
      <c r="K126" s="27"/>
    </row>
    <row r="127" spans="5:11" ht="17.25" thickBot="1" x14ac:dyDescent="0.3">
      <c r="E127" s="120"/>
      <c r="F127" s="20" t="s">
        <v>183</v>
      </c>
      <c r="G127" s="16">
        <v>0.8</v>
      </c>
      <c r="H127" s="16">
        <v>0.45</v>
      </c>
      <c r="I127" s="16">
        <v>1</v>
      </c>
      <c r="J127" s="16">
        <v>0.55000000000000004</v>
      </c>
      <c r="K127" s="22" t="s">
        <v>113</v>
      </c>
    </row>
    <row r="128" spans="5:11" ht="36.75" thickBot="1" x14ac:dyDescent="0.3">
      <c r="E128" s="120"/>
      <c r="F128" s="20" t="s">
        <v>184</v>
      </c>
      <c r="G128" s="16">
        <v>0.8</v>
      </c>
      <c r="H128" s="16">
        <v>0.45</v>
      </c>
      <c r="I128" s="16">
        <v>1</v>
      </c>
      <c r="J128" s="16">
        <v>0.55000000000000004</v>
      </c>
      <c r="K128" s="22" t="s">
        <v>185</v>
      </c>
    </row>
    <row r="129" spans="5:11" ht="17.25" thickBot="1" x14ac:dyDescent="0.3">
      <c r="E129" s="120"/>
      <c r="F129" s="20" t="s">
        <v>186</v>
      </c>
      <c r="G129" s="16">
        <v>0.8</v>
      </c>
      <c r="H129" s="16">
        <v>0.45</v>
      </c>
      <c r="I129" s="16">
        <v>1</v>
      </c>
      <c r="J129" s="16">
        <v>0.5</v>
      </c>
      <c r="K129" s="22" t="s">
        <v>113</v>
      </c>
    </row>
    <row r="130" spans="5:11" ht="17.25" thickBot="1" x14ac:dyDescent="0.3">
      <c r="E130" s="120"/>
      <c r="F130" s="20" t="s">
        <v>187</v>
      </c>
      <c r="G130" s="16">
        <v>0.8</v>
      </c>
      <c r="H130" s="16">
        <v>0.45</v>
      </c>
      <c r="I130" s="16">
        <v>1</v>
      </c>
      <c r="J130" s="16">
        <v>0.55000000000000004</v>
      </c>
      <c r="K130" s="22" t="s">
        <v>113</v>
      </c>
    </row>
    <row r="131" spans="5:11" ht="36.75" thickBot="1" x14ac:dyDescent="0.3">
      <c r="E131" s="120"/>
      <c r="F131" s="20" t="s">
        <v>188</v>
      </c>
      <c r="G131" s="16">
        <v>0.8</v>
      </c>
      <c r="H131" s="16">
        <v>0.45</v>
      </c>
      <c r="I131" s="16">
        <v>1</v>
      </c>
      <c r="J131" s="16">
        <v>0.5</v>
      </c>
      <c r="K131" s="22" t="s">
        <v>185</v>
      </c>
    </row>
    <row r="132" spans="5:11" ht="17.25" thickBot="1" x14ac:dyDescent="0.3">
      <c r="E132" s="120"/>
      <c r="F132" s="20" t="s">
        <v>189</v>
      </c>
      <c r="G132" s="16">
        <v>0.8</v>
      </c>
      <c r="H132" s="16">
        <v>0.45</v>
      </c>
      <c r="I132" s="16">
        <v>1</v>
      </c>
      <c r="J132" s="16">
        <v>0.55000000000000004</v>
      </c>
      <c r="K132" s="22" t="s">
        <v>113</v>
      </c>
    </row>
    <row r="133" spans="5:11" ht="17.25" thickBot="1" x14ac:dyDescent="0.3">
      <c r="E133" s="120"/>
      <c r="F133" s="20" t="s">
        <v>190</v>
      </c>
      <c r="G133" s="16">
        <v>0.7</v>
      </c>
      <c r="H133" s="16">
        <v>0.4</v>
      </c>
      <c r="I133" s="16">
        <v>0.9</v>
      </c>
      <c r="J133" s="16">
        <v>0.5</v>
      </c>
      <c r="K133" s="27"/>
    </row>
    <row r="134" spans="5:11" ht="17.25" thickBot="1" x14ac:dyDescent="0.3">
      <c r="E134" s="120"/>
      <c r="F134" s="20" t="s">
        <v>191</v>
      </c>
      <c r="G134" s="16">
        <v>0.7</v>
      </c>
      <c r="H134" s="16">
        <v>0.4</v>
      </c>
      <c r="I134" s="16">
        <v>0.9</v>
      </c>
      <c r="J134" s="16">
        <v>0.5</v>
      </c>
      <c r="K134" s="22" t="s">
        <v>113</v>
      </c>
    </row>
    <row r="135" spans="5:11" ht="17.25" thickBot="1" x14ac:dyDescent="0.3">
      <c r="E135" s="120"/>
      <c r="F135" s="20" t="s">
        <v>192</v>
      </c>
      <c r="G135" s="16">
        <v>0.7</v>
      </c>
      <c r="H135" s="16">
        <v>0.4</v>
      </c>
      <c r="I135" s="16">
        <v>0.9</v>
      </c>
      <c r="J135" s="16">
        <v>0.5</v>
      </c>
      <c r="K135" s="22" t="s">
        <v>113</v>
      </c>
    </row>
    <row r="136" spans="5:11" ht="17.25" thickBot="1" x14ac:dyDescent="0.3">
      <c r="E136" s="120"/>
      <c r="F136" s="20" t="s">
        <v>193</v>
      </c>
      <c r="G136" s="16">
        <v>0.7</v>
      </c>
      <c r="H136" s="16">
        <v>0.4</v>
      </c>
      <c r="I136" s="16">
        <v>0.9</v>
      </c>
      <c r="J136" s="16">
        <v>0.5</v>
      </c>
      <c r="K136" s="27"/>
    </row>
    <row r="137" spans="5:11" ht="17.25" thickBot="1" x14ac:dyDescent="0.3">
      <c r="E137" s="121"/>
      <c r="F137" s="20" t="s">
        <v>194</v>
      </c>
      <c r="G137" s="16">
        <v>0.7</v>
      </c>
      <c r="H137" s="16">
        <v>0.4</v>
      </c>
      <c r="I137" s="16">
        <v>0.9</v>
      </c>
      <c r="J137" s="16">
        <v>0.5</v>
      </c>
      <c r="K137" s="27"/>
    </row>
    <row r="138" spans="5:11" ht="36.75" thickBot="1" x14ac:dyDescent="0.3">
      <c r="E138" s="119" t="s">
        <v>195</v>
      </c>
      <c r="F138" s="20" t="s">
        <v>196</v>
      </c>
      <c r="G138" s="16">
        <v>0.8</v>
      </c>
      <c r="H138" s="16">
        <v>0.45</v>
      </c>
      <c r="I138" s="16">
        <v>1</v>
      </c>
      <c r="J138" s="16">
        <v>0.55000000000000004</v>
      </c>
      <c r="K138" s="22" t="s">
        <v>185</v>
      </c>
    </row>
    <row r="139" spans="5:11" ht="17.25" thickBot="1" x14ac:dyDescent="0.3">
      <c r="E139" s="120"/>
      <c r="F139" s="20" t="s">
        <v>197</v>
      </c>
      <c r="G139" s="16">
        <v>0.7</v>
      </c>
      <c r="H139" s="16">
        <v>0.4</v>
      </c>
      <c r="I139" s="16">
        <v>0.9</v>
      </c>
      <c r="J139" s="16">
        <v>0.5</v>
      </c>
      <c r="K139" s="22" t="s">
        <v>198</v>
      </c>
    </row>
    <row r="140" spans="5:11" ht="17.25" thickBot="1" x14ac:dyDescent="0.3">
      <c r="E140" s="120"/>
      <c r="F140" s="20" t="s">
        <v>199</v>
      </c>
      <c r="G140" s="16">
        <v>0.7</v>
      </c>
      <c r="H140" s="16">
        <v>0.4</v>
      </c>
      <c r="I140" s="16">
        <v>0.9</v>
      </c>
      <c r="J140" s="16">
        <v>0.5</v>
      </c>
      <c r="K140" s="27"/>
    </row>
    <row r="141" spans="5:11" ht="17.25" thickBot="1" x14ac:dyDescent="0.3">
      <c r="E141" s="120"/>
      <c r="F141" s="20" t="s">
        <v>200</v>
      </c>
      <c r="G141" s="16">
        <v>0.7</v>
      </c>
      <c r="H141" s="16">
        <v>0.4</v>
      </c>
      <c r="I141" s="16">
        <v>0.9</v>
      </c>
      <c r="J141" s="16">
        <v>0.5</v>
      </c>
      <c r="K141" s="27"/>
    </row>
    <row r="142" spans="5:11" ht="17.25" thickBot="1" x14ac:dyDescent="0.3">
      <c r="E142" s="120"/>
      <c r="F142" s="20" t="s">
        <v>201</v>
      </c>
      <c r="G142" s="16">
        <v>0.7</v>
      </c>
      <c r="H142" s="16">
        <v>0.4</v>
      </c>
      <c r="I142" s="16">
        <v>0.9</v>
      </c>
      <c r="J142" s="16">
        <v>0.5</v>
      </c>
      <c r="K142" s="27"/>
    </row>
    <row r="143" spans="5:11" ht="17.25" thickBot="1" x14ac:dyDescent="0.3">
      <c r="E143" s="120"/>
      <c r="F143" s="20" t="s">
        <v>202</v>
      </c>
      <c r="G143" s="16">
        <v>0.7</v>
      </c>
      <c r="H143" s="16">
        <v>0.4</v>
      </c>
      <c r="I143" s="16">
        <v>0.9</v>
      </c>
      <c r="J143" s="16">
        <v>0.5</v>
      </c>
      <c r="K143" s="27"/>
    </row>
    <row r="144" spans="5:11" ht="24.75" thickBot="1" x14ac:dyDescent="0.3">
      <c r="E144" s="120"/>
      <c r="F144" s="20" t="s">
        <v>203</v>
      </c>
      <c r="G144" s="16">
        <v>0.8</v>
      </c>
      <c r="H144" s="16">
        <v>0.45</v>
      </c>
      <c r="I144" s="16">
        <v>1</v>
      </c>
      <c r="J144" s="16">
        <v>0.55000000000000004</v>
      </c>
      <c r="K144" s="22" t="s">
        <v>204</v>
      </c>
    </row>
    <row r="145" spans="5:11" ht="17.25" thickBot="1" x14ac:dyDescent="0.3">
      <c r="E145" s="120"/>
      <c r="F145" s="20" t="s">
        <v>205</v>
      </c>
      <c r="G145" s="16">
        <v>0.7</v>
      </c>
      <c r="H145" s="16">
        <v>0.4</v>
      </c>
      <c r="I145" s="16">
        <v>0.9</v>
      </c>
      <c r="J145" s="16">
        <v>0.5</v>
      </c>
      <c r="K145" s="22" t="s">
        <v>198</v>
      </c>
    </row>
    <row r="146" spans="5:11" ht="17.25" thickBot="1" x14ac:dyDescent="0.3">
      <c r="E146" s="120"/>
      <c r="F146" s="20" t="s">
        <v>206</v>
      </c>
      <c r="G146" s="16">
        <v>0.7</v>
      </c>
      <c r="H146" s="16">
        <v>0.4</v>
      </c>
      <c r="I146" s="16">
        <v>0.9</v>
      </c>
      <c r="J146" s="16">
        <v>0.5</v>
      </c>
      <c r="K146" s="27"/>
    </row>
    <row r="147" spans="5:11" ht="36.75" thickBot="1" x14ac:dyDescent="0.3">
      <c r="E147" s="120"/>
      <c r="F147" s="20" t="s">
        <v>207</v>
      </c>
      <c r="G147" s="16">
        <v>0.8</v>
      </c>
      <c r="H147" s="16">
        <v>0.45</v>
      </c>
      <c r="I147" s="16">
        <v>1</v>
      </c>
      <c r="J147" s="16">
        <v>0.55000000000000004</v>
      </c>
      <c r="K147" s="22" t="s">
        <v>185</v>
      </c>
    </row>
    <row r="148" spans="5:11" ht="17.25" thickBot="1" x14ac:dyDescent="0.3">
      <c r="E148" s="120"/>
      <c r="F148" s="20" t="s">
        <v>208</v>
      </c>
      <c r="G148" s="16">
        <v>0.7</v>
      </c>
      <c r="H148" s="16">
        <v>0.4</v>
      </c>
      <c r="I148" s="16">
        <v>0.9</v>
      </c>
      <c r="J148" s="16">
        <v>0.5</v>
      </c>
      <c r="K148" s="27"/>
    </row>
    <row r="149" spans="5:11" ht="17.25" thickBot="1" x14ac:dyDescent="0.3">
      <c r="E149" s="120"/>
      <c r="F149" s="20" t="s">
        <v>209</v>
      </c>
      <c r="G149" s="16">
        <v>0.7</v>
      </c>
      <c r="H149" s="16">
        <v>0.4</v>
      </c>
      <c r="I149" s="16">
        <v>0.9</v>
      </c>
      <c r="J149" s="16">
        <v>0.5</v>
      </c>
      <c r="K149" s="27"/>
    </row>
    <row r="150" spans="5:11" ht="17.25" thickBot="1" x14ac:dyDescent="0.3">
      <c r="E150" s="120"/>
      <c r="F150" s="20" t="s">
        <v>210</v>
      </c>
      <c r="G150" s="16">
        <v>0.7</v>
      </c>
      <c r="H150" s="16">
        <v>0.4</v>
      </c>
      <c r="I150" s="16">
        <v>0.9</v>
      </c>
      <c r="J150" s="16">
        <v>0.5</v>
      </c>
      <c r="K150" s="27"/>
    </row>
    <row r="151" spans="5:11" ht="17.25" thickBot="1" x14ac:dyDescent="0.3">
      <c r="E151" s="120"/>
      <c r="F151" s="20" t="s">
        <v>211</v>
      </c>
      <c r="G151" s="16">
        <v>0.7</v>
      </c>
      <c r="H151" s="16">
        <v>0.4</v>
      </c>
      <c r="I151" s="16">
        <v>0.9</v>
      </c>
      <c r="J151" s="16">
        <v>0.5</v>
      </c>
      <c r="K151" s="27"/>
    </row>
    <row r="152" spans="5:11" ht="17.25" thickBot="1" x14ac:dyDescent="0.3">
      <c r="E152" s="120"/>
      <c r="F152" s="20" t="s">
        <v>212</v>
      </c>
      <c r="G152" s="16">
        <v>0.7</v>
      </c>
      <c r="H152" s="16">
        <v>0.4</v>
      </c>
      <c r="I152" s="16">
        <v>0.9</v>
      </c>
      <c r="J152" s="16">
        <v>0.5</v>
      </c>
      <c r="K152" s="27"/>
    </row>
    <row r="153" spans="5:11" ht="17.25" thickBot="1" x14ac:dyDescent="0.3">
      <c r="E153" s="120"/>
      <c r="F153" s="20" t="s">
        <v>213</v>
      </c>
      <c r="G153" s="16">
        <v>0.7</v>
      </c>
      <c r="H153" s="16">
        <v>0.4</v>
      </c>
      <c r="I153" s="16">
        <v>0.9</v>
      </c>
      <c r="J153" s="16">
        <v>0.5</v>
      </c>
      <c r="K153" s="27"/>
    </row>
    <row r="154" spans="5:11" ht="17.25" thickBot="1" x14ac:dyDescent="0.3">
      <c r="E154" s="120"/>
      <c r="F154" s="20" t="s">
        <v>214</v>
      </c>
      <c r="G154" s="16">
        <v>0.7</v>
      </c>
      <c r="H154" s="16">
        <v>0.4</v>
      </c>
      <c r="I154" s="16">
        <v>0.9</v>
      </c>
      <c r="J154" s="16">
        <v>0.5</v>
      </c>
      <c r="K154" s="27"/>
    </row>
    <row r="155" spans="5:11" ht="17.25" thickBot="1" x14ac:dyDescent="0.3">
      <c r="E155" s="120"/>
      <c r="F155" s="20" t="s">
        <v>215</v>
      </c>
      <c r="G155" s="16">
        <v>0.7</v>
      </c>
      <c r="H155" s="16">
        <v>0.4</v>
      </c>
      <c r="I155" s="16">
        <v>0.9</v>
      </c>
      <c r="J155" s="16">
        <v>0.5</v>
      </c>
      <c r="K155" s="27"/>
    </row>
    <row r="156" spans="5:11" ht="17.25" thickBot="1" x14ac:dyDescent="0.3">
      <c r="E156" s="120"/>
      <c r="F156" s="20" t="s">
        <v>216</v>
      </c>
      <c r="G156" s="16">
        <v>0.7</v>
      </c>
      <c r="H156" s="16">
        <v>0.4</v>
      </c>
      <c r="I156" s="16">
        <v>0.9</v>
      </c>
      <c r="J156" s="16">
        <v>0.5</v>
      </c>
      <c r="K156" s="27"/>
    </row>
    <row r="157" spans="5:11" ht="17.25" thickBot="1" x14ac:dyDescent="0.3">
      <c r="E157" s="121"/>
      <c r="F157" s="20" t="s">
        <v>217</v>
      </c>
      <c r="G157" s="16">
        <v>0.7</v>
      </c>
      <c r="H157" s="16">
        <v>0.4</v>
      </c>
      <c r="I157" s="16">
        <v>0.9</v>
      </c>
      <c r="J157" s="16">
        <v>0.5</v>
      </c>
      <c r="K157" s="27"/>
    </row>
    <row r="158" spans="5:11" ht="17.25" thickBot="1" x14ac:dyDescent="0.3">
      <c r="E158" s="119" t="s">
        <v>218</v>
      </c>
      <c r="F158" s="20" t="s">
        <v>219</v>
      </c>
      <c r="G158" s="16">
        <v>0.7</v>
      </c>
      <c r="H158" s="16">
        <v>0.4</v>
      </c>
      <c r="I158" s="16">
        <v>0.9</v>
      </c>
      <c r="J158" s="16">
        <v>0.5</v>
      </c>
      <c r="K158" s="22" t="s">
        <v>198</v>
      </c>
    </row>
    <row r="159" spans="5:11" ht="17.25" thickBot="1" x14ac:dyDescent="0.3">
      <c r="E159" s="120"/>
      <c r="F159" s="20" t="s">
        <v>220</v>
      </c>
      <c r="G159" s="16">
        <v>0.7</v>
      </c>
      <c r="H159" s="16">
        <v>0.4</v>
      </c>
      <c r="I159" s="16">
        <v>0.9</v>
      </c>
      <c r="J159" s="16">
        <v>0.5</v>
      </c>
      <c r="K159" s="27"/>
    </row>
    <row r="160" spans="5:11" ht="17.25" thickBot="1" x14ac:dyDescent="0.3">
      <c r="E160" s="120"/>
      <c r="F160" s="20" t="s">
        <v>221</v>
      </c>
      <c r="G160" s="16">
        <v>0.7</v>
      </c>
      <c r="H160" s="16">
        <v>0.4</v>
      </c>
      <c r="I160" s="16">
        <v>0.9</v>
      </c>
      <c r="J160" s="16">
        <v>0.5</v>
      </c>
      <c r="K160" s="27"/>
    </row>
    <row r="161" spans="5:11" ht="36.75" thickBot="1" x14ac:dyDescent="0.3">
      <c r="E161" s="120"/>
      <c r="F161" s="20" t="s">
        <v>222</v>
      </c>
      <c r="G161" s="16">
        <v>0.8</v>
      </c>
      <c r="H161" s="16">
        <v>0.45</v>
      </c>
      <c r="I161" s="16">
        <v>1</v>
      </c>
      <c r="J161" s="16">
        <v>0.55000000000000004</v>
      </c>
      <c r="K161" s="22" t="s">
        <v>223</v>
      </c>
    </row>
    <row r="162" spans="5:11" ht="17.25" thickBot="1" x14ac:dyDescent="0.3">
      <c r="E162" s="120"/>
      <c r="F162" s="20" t="s">
        <v>224</v>
      </c>
      <c r="G162" s="16">
        <v>0.8</v>
      </c>
      <c r="H162" s="16">
        <v>0.45</v>
      </c>
      <c r="I162" s="16">
        <v>1</v>
      </c>
      <c r="J162" s="16">
        <v>0.55000000000000004</v>
      </c>
      <c r="K162" s="22" t="s">
        <v>198</v>
      </c>
    </row>
    <row r="163" spans="5:11" ht="17.25" thickBot="1" x14ac:dyDescent="0.3">
      <c r="E163" s="120"/>
      <c r="F163" s="20" t="s">
        <v>225</v>
      </c>
      <c r="G163" s="16">
        <v>0.8</v>
      </c>
      <c r="H163" s="16">
        <v>0.45</v>
      </c>
      <c r="I163" s="16">
        <v>1</v>
      </c>
      <c r="J163" s="16">
        <v>0.55000000000000004</v>
      </c>
      <c r="K163" s="22" t="s">
        <v>198</v>
      </c>
    </row>
    <row r="164" spans="5:11" ht="17.25" thickBot="1" x14ac:dyDescent="0.3">
      <c r="E164" s="120"/>
      <c r="F164" s="20" t="s">
        <v>226</v>
      </c>
      <c r="G164" s="16">
        <v>0.7</v>
      </c>
      <c r="H164" s="16">
        <v>0.4</v>
      </c>
      <c r="I164" s="16">
        <v>0.9</v>
      </c>
      <c r="J164" s="16">
        <v>0.5</v>
      </c>
      <c r="K164" s="22" t="s">
        <v>198</v>
      </c>
    </row>
    <row r="165" spans="5:11" ht="17.25" thickBot="1" x14ac:dyDescent="0.3">
      <c r="E165" s="120"/>
      <c r="F165" s="20" t="s">
        <v>227</v>
      </c>
      <c r="G165" s="16">
        <v>0.7</v>
      </c>
      <c r="H165" s="16">
        <v>0.4</v>
      </c>
      <c r="I165" s="16">
        <v>0.9</v>
      </c>
      <c r="J165" s="16">
        <v>0.5</v>
      </c>
      <c r="K165" s="27"/>
    </row>
    <row r="166" spans="5:11" ht="17.25" thickBot="1" x14ac:dyDescent="0.3">
      <c r="E166" s="120"/>
      <c r="F166" s="20" t="s">
        <v>228</v>
      </c>
      <c r="G166" s="16">
        <v>0.7</v>
      </c>
      <c r="H166" s="16">
        <v>0.4</v>
      </c>
      <c r="I166" s="16">
        <v>0.9</v>
      </c>
      <c r="J166" s="16">
        <v>0.5</v>
      </c>
      <c r="K166" s="27"/>
    </row>
    <row r="167" spans="5:11" ht="17.25" thickBot="1" x14ac:dyDescent="0.3">
      <c r="E167" s="120"/>
      <c r="F167" s="21" t="s">
        <v>229</v>
      </c>
      <c r="G167" s="15">
        <v>0.7</v>
      </c>
      <c r="H167" s="15">
        <v>0.4</v>
      </c>
      <c r="I167" s="15">
        <v>0.9</v>
      </c>
      <c r="J167" s="15">
        <v>0.5</v>
      </c>
      <c r="K167" s="26"/>
    </row>
    <row r="168" spans="5:11" ht="17.25" thickBot="1" x14ac:dyDescent="0.3">
      <c r="E168" s="120"/>
      <c r="F168" s="20" t="s">
        <v>230</v>
      </c>
      <c r="G168" s="16">
        <v>0.7</v>
      </c>
      <c r="H168" s="16">
        <v>0.4</v>
      </c>
      <c r="I168" s="16">
        <v>0.9</v>
      </c>
      <c r="J168" s="16">
        <v>0.5</v>
      </c>
      <c r="K168" s="27"/>
    </row>
    <row r="169" spans="5:11" ht="24.75" thickBot="1" x14ac:dyDescent="0.3">
      <c r="E169" s="120"/>
      <c r="F169" s="20" t="s">
        <v>231</v>
      </c>
      <c r="G169" s="16">
        <v>0.7</v>
      </c>
      <c r="H169" s="16">
        <v>0.4</v>
      </c>
      <c r="I169" s="16">
        <v>0.9</v>
      </c>
      <c r="J169" s="16">
        <v>0.5</v>
      </c>
      <c r="K169" s="22" t="s">
        <v>232</v>
      </c>
    </row>
    <row r="170" spans="5:11" ht="24.75" thickBot="1" x14ac:dyDescent="0.3">
      <c r="E170" s="120"/>
      <c r="F170" s="20" t="s">
        <v>233</v>
      </c>
      <c r="G170" s="16">
        <v>0.8</v>
      </c>
      <c r="H170" s="16">
        <v>0.45</v>
      </c>
      <c r="I170" s="16">
        <v>1</v>
      </c>
      <c r="J170" s="16">
        <v>0.55000000000000004</v>
      </c>
      <c r="K170" s="22" t="s">
        <v>232</v>
      </c>
    </row>
    <row r="171" spans="5:11" ht="36.75" thickBot="1" x14ac:dyDescent="0.3">
      <c r="E171" s="120"/>
      <c r="F171" s="20" t="s">
        <v>234</v>
      </c>
      <c r="G171" s="16">
        <v>0.8</v>
      </c>
      <c r="H171" s="16">
        <v>0.45</v>
      </c>
      <c r="I171" s="16">
        <v>1</v>
      </c>
      <c r="J171" s="16">
        <v>0.55000000000000004</v>
      </c>
      <c r="K171" s="22" t="s">
        <v>235</v>
      </c>
    </row>
    <row r="172" spans="5:11" ht="36.75" thickBot="1" x14ac:dyDescent="0.3">
      <c r="E172" s="120"/>
      <c r="F172" s="20" t="s">
        <v>236</v>
      </c>
      <c r="G172" s="16">
        <v>0.8</v>
      </c>
      <c r="H172" s="16">
        <v>0.45</v>
      </c>
      <c r="I172" s="16">
        <v>1</v>
      </c>
      <c r="J172" s="16">
        <v>0.55000000000000004</v>
      </c>
      <c r="K172" s="22" t="s">
        <v>235</v>
      </c>
    </row>
    <row r="173" spans="5:11" ht="24.75" thickBot="1" x14ac:dyDescent="0.3">
      <c r="E173" s="120"/>
      <c r="F173" s="20" t="s">
        <v>237</v>
      </c>
      <c r="G173" s="16">
        <v>0.8</v>
      </c>
      <c r="H173" s="16">
        <v>0.45</v>
      </c>
      <c r="I173" s="16">
        <v>1</v>
      </c>
      <c r="J173" s="16">
        <v>0.55000000000000004</v>
      </c>
      <c r="K173" s="22" t="s">
        <v>232</v>
      </c>
    </row>
    <row r="174" spans="5:11" ht="24.75" thickBot="1" x14ac:dyDescent="0.3">
      <c r="E174" s="120"/>
      <c r="F174" s="20" t="s">
        <v>238</v>
      </c>
      <c r="G174" s="16">
        <v>0.8</v>
      </c>
      <c r="H174" s="16">
        <v>0.45</v>
      </c>
      <c r="I174" s="16">
        <v>1</v>
      </c>
      <c r="J174" s="16">
        <v>0.55000000000000004</v>
      </c>
      <c r="K174" s="22" t="s">
        <v>232</v>
      </c>
    </row>
    <row r="175" spans="5:11" ht="24.75" thickBot="1" x14ac:dyDescent="0.3">
      <c r="E175" s="121"/>
      <c r="F175" s="20" t="s">
        <v>239</v>
      </c>
      <c r="G175" s="16">
        <v>0.7</v>
      </c>
      <c r="H175" s="16">
        <v>0.4</v>
      </c>
      <c r="I175" s="16">
        <v>0.9</v>
      </c>
      <c r="J175" s="16">
        <v>0.5</v>
      </c>
      <c r="K175" s="22" t="s">
        <v>232</v>
      </c>
    </row>
    <row r="176" spans="5:11" ht="17.25" thickBot="1" x14ac:dyDescent="0.3">
      <c r="E176" s="119" t="s">
        <v>240</v>
      </c>
      <c r="F176" s="20" t="s">
        <v>98</v>
      </c>
      <c r="G176" s="16">
        <v>0.8</v>
      </c>
      <c r="H176" s="16">
        <v>0.45</v>
      </c>
      <c r="I176" s="16">
        <v>1</v>
      </c>
      <c r="J176" s="16">
        <v>0.55000000000000004</v>
      </c>
      <c r="K176" s="22" t="s">
        <v>198</v>
      </c>
    </row>
    <row r="177" spans="5:11" ht="17.25" thickBot="1" x14ac:dyDescent="0.3">
      <c r="E177" s="121"/>
      <c r="F177" s="20" t="s">
        <v>149</v>
      </c>
      <c r="G177" s="16">
        <v>0.7</v>
      </c>
      <c r="H177" s="16">
        <v>0.4</v>
      </c>
      <c r="I177" s="16">
        <v>0.9</v>
      </c>
      <c r="J177" s="16">
        <v>0.5</v>
      </c>
      <c r="K177" s="22" t="s">
        <v>198</v>
      </c>
    </row>
    <row r="178" spans="5:11" ht="17.25" thickBot="1" x14ac:dyDescent="0.3">
      <c r="E178" s="119" t="s">
        <v>241</v>
      </c>
      <c r="F178" s="20" t="s">
        <v>242</v>
      </c>
      <c r="G178" s="16">
        <v>0.7</v>
      </c>
      <c r="H178" s="16">
        <v>0.4</v>
      </c>
      <c r="I178" s="16">
        <v>0.9</v>
      </c>
      <c r="J178" s="16">
        <v>0.5</v>
      </c>
      <c r="K178" s="27"/>
    </row>
    <row r="179" spans="5:11" ht="17.25" thickBot="1" x14ac:dyDescent="0.3">
      <c r="E179" s="120"/>
      <c r="F179" s="20" t="s">
        <v>243</v>
      </c>
      <c r="G179" s="16">
        <v>0.7</v>
      </c>
      <c r="H179" s="16">
        <v>0.4</v>
      </c>
      <c r="I179" s="16">
        <v>0.9</v>
      </c>
      <c r="J179" s="16">
        <v>0.5</v>
      </c>
      <c r="K179" s="27"/>
    </row>
    <row r="180" spans="5:11" ht="24.75" thickBot="1" x14ac:dyDescent="0.3">
      <c r="E180" s="120"/>
      <c r="F180" s="20" t="s">
        <v>244</v>
      </c>
      <c r="G180" s="16">
        <v>0.8</v>
      </c>
      <c r="H180" s="16">
        <v>0.45</v>
      </c>
      <c r="I180" s="16">
        <v>1</v>
      </c>
      <c r="J180" s="16">
        <v>0.55000000000000004</v>
      </c>
      <c r="K180" s="22" t="s">
        <v>232</v>
      </c>
    </row>
    <row r="181" spans="5:11" ht="17.25" thickBot="1" x14ac:dyDescent="0.3">
      <c r="E181" s="120"/>
      <c r="F181" s="20" t="s">
        <v>245</v>
      </c>
      <c r="G181" s="16">
        <v>0.7</v>
      </c>
      <c r="H181" s="16">
        <v>0.4</v>
      </c>
      <c r="I181" s="16">
        <v>0.9</v>
      </c>
      <c r="J181" s="16">
        <v>0.5</v>
      </c>
      <c r="K181" s="27"/>
    </row>
    <row r="182" spans="5:11" ht="17.25" thickBot="1" x14ac:dyDescent="0.3">
      <c r="E182" s="120"/>
      <c r="F182" s="20" t="s">
        <v>246</v>
      </c>
      <c r="G182" s="16">
        <v>0.7</v>
      </c>
      <c r="H182" s="16">
        <v>0.4</v>
      </c>
      <c r="I182" s="16">
        <v>0.9</v>
      </c>
      <c r="J182" s="16">
        <v>0.5</v>
      </c>
      <c r="K182" s="27"/>
    </row>
    <row r="183" spans="5:11" ht="24.75" thickBot="1" x14ac:dyDescent="0.3">
      <c r="E183" s="120"/>
      <c r="F183" s="20" t="s">
        <v>247</v>
      </c>
      <c r="G183" s="16">
        <v>0.7</v>
      </c>
      <c r="H183" s="16">
        <v>0.4</v>
      </c>
      <c r="I183" s="16">
        <v>0.9</v>
      </c>
      <c r="J183" s="16">
        <v>0.5</v>
      </c>
      <c r="K183" s="22" t="s">
        <v>232</v>
      </c>
    </row>
    <row r="184" spans="5:11" ht="17.25" thickBot="1" x14ac:dyDescent="0.3">
      <c r="E184" s="120"/>
      <c r="F184" s="20" t="s">
        <v>248</v>
      </c>
      <c r="G184" s="16">
        <v>0.7</v>
      </c>
      <c r="H184" s="16">
        <v>0.4</v>
      </c>
      <c r="I184" s="16">
        <v>0.9</v>
      </c>
      <c r="J184" s="16">
        <v>0.5</v>
      </c>
      <c r="K184" s="27"/>
    </row>
    <row r="185" spans="5:11" ht="17.25" thickBot="1" x14ac:dyDescent="0.3">
      <c r="E185" s="120"/>
      <c r="F185" s="20" t="s">
        <v>249</v>
      </c>
      <c r="G185" s="16">
        <v>0.7</v>
      </c>
      <c r="H185" s="16">
        <v>0.4</v>
      </c>
      <c r="I185" s="16">
        <v>0.9</v>
      </c>
      <c r="J185" s="16">
        <v>0.5</v>
      </c>
      <c r="K185" s="27"/>
    </row>
    <row r="186" spans="5:11" ht="17.25" thickBot="1" x14ac:dyDescent="0.3">
      <c r="E186" s="120"/>
      <c r="F186" s="20" t="s">
        <v>250</v>
      </c>
      <c r="G186" s="16">
        <v>0.7</v>
      </c>
      <c r="H186" s="16">
        <v>0.4</v>
      </c>
      <c r="I186" s="16">
        <v>0.9</v>
      </c>
      <c r="J186" s="16">
        <v>0.5</v>
      </c>
      <c r="K186" s="27"/>
    </row>
    <row r="187" spans="5:11" ht="17.25" thickBot="1" x14ac:dyDescent="0.3">
      <c r="E187" s="120"/>
      <c r="F187" s="20" t="s">
        <v>251</v>
      </c>
      <c r="G187" s="16">
        <v>0.7</v>
      </c>
      <c r="H187" s="16">
        <v>0.4</v>
      </c>
      <c r="I187" s="16">
        <v>0.9</v>
      </c>
      <c r="J187" s="16">
        <v>0.5</v>
      </c>
      <c r="K187" s="27"/>
    </row>
    <row r="188" spans="5:11" ht="17.25" thickBot="1" x14ac:dyDescent="0.3">
      <c r="E188" s="120"/>
      <c r="F188" s="20" t="s">
        <v>252</v>
      </c>
      <c r="G188" s="16">
        <v>0.7</v>
      </c>
      <c r="H188" s="16">
        <v>0.4</v>
      </c>
      <c r="I188" s="16">
        <v>0.9</v>
      </c>
      <c r="J188" s="16">
        <v>0.5</v>
      </c>
      <c r="K188" s="22" t="s">
        <v>253</v>
      </c>
    </row>
    <row r="189" spans="5:11" ht="17.25" thickBot="1" x14ac:dyDescent="0.3">
      <c r="E189" s="120"/>
      <c r="F189" s="20" t="s">
        <v>254</v>
      </c>
      <c r="G189" s="16">
        <v>0.7</v>
      </c>
      <c r="H189" s="16">
        <v>0.4</v>
      </c>
      <c r="I189" s="16">
        <v>0.9</v>
      </c>
      <c r="J189" s="16">
        <v>0.5</v>
      </c>
      <c r="K189" s="27"/>
    </row>
    <row r="190" spans="5:11" ht="17.25" thickBot="1" x14ac:dyDescent="0.3">
      <c r="E190" s="120"/>
      <c r="F190" s="20" t="s">
        <v>255</v>
      </c>
      <c r="G190" s="16">
        <v>0.7</v>
      </c>
      <c r="H190" s="16">
        <v>0.4</v>
      </c>
      <c r="I190" s="16">
        <v>0.9</v>
      </c>
      <c r="J190" s="16">
        <v>0.5</v>
      </c>
      <c r="K190" s="27"/>
    </row>
    <row r="191" spans="5:11" ht="17.25" thickBot="1" x14ac:dyDescent="0.3">
      <c r="E191" s="120"/>
      <c r="F191" s="20" t="s">
        <v>256</v>
      </c>
      <c r="G191" s="16">
        <v>0.7</v>
      </c>
      <c r="H191" s="16">
        <v>0.4</v>
      </c>
      <c r="I191" s="16">
        <v>0.9</v>
      </c>
      <c r="J191" s="16">
        <v>0.5</v>
      </c>
      <c r="K191" s="27"/>
    </row>
    <row r="192" spans="5:11" ht="17.25" thickBot="1" x14ac:dyDescent="0.3">
      <c r="E192" s="120"/>
      <c r="F192" s="20" t="s">
        <v>257</v>
      </c>
      <c r="G192" s="16">
        <v>0.7</v>
      </c>
      <c r="H192" s="16">
        <v>0.4</v>
      </c>
      <c r="I192" s="16">
        <v>0.9</v>
      </c>
      <c r="J192" s="16">
        <v>0.5</v>
      </c>
      <c r="K192" s="27"/>
    </row>
    <row r="193" spans="5:11" ht="17.25" thickBot="1" x14ac:dyDescent="0.3">
      <c r="E193" s="120"/>
      <c r="F193" s="20" t="s">
        <v>258</v>
      </c>
      <c r="G193" s="16">
        <v>0.7</v>
      </c>
      <c r="H193" s="16">
        <v>0.4</v>
      </c>
      <c r="I193" s="16">
        <v>0.9</v>
      </c>
      <c r="J193" s="16">
        <v>0.5</v>
      </c>
      <c r="K193" s="27"/>
    </row>
    <row r="194" spans="5:11" ht="17.25" thickBot="1" x14ac:dyDescent="0.3">
      <c r="E194" s="120"/>
      <c r="F194" s="20" t="s">
        <v>259</v>
      </c>
      <c r="G194" s="16">
        <v>0.7</v>
      </c>
      <c r="H194" s="16">
        <v>0.4</v>
      </c>
      <c r="I194" s="16">
        <v>0.9</v>
      </c>
      <c r="J194" s="16">
        <v>0.5</v>
      </c>
      <c r="K194" s="27"/>
    </row>
    <row r="195" spans="5:11" ht="17.25" thickBot="1" x14ac:dyDescent="0.3">
      <c r="E195" s="120"/>
      <c r="F195" s="20" t="s">
        <v>260</v>
      </c>
      <c r="G195" s="16">
        <v>0.8</v>
      </c>
      <c r="H195" s="16">
        <v>0.4</v>
      </c>
      <c r="I195" s="16">
        <v>1</v>
      </c>
      <c r="J195" s="16">
        <v>0.55000000000000004</v>
      </c>
      <c r="K195" s="22" t="s">
        <v>253</v>
      </c>
    </row>
    <row r="196" spans="5:11" ht="17.25" thickBot="1" x14ac:dyDescent="0.3">
      <c r="E196" s="120"/>
      <c r="F196" s="20" t="s">
        <v>261</v>
      </c>
      <c r="G196" s="16">
        <v>0.7</v>
      </c>
      <c r="H196" s="16">
        <v>0.4</v>
      </c>
      <c r="I196" s="16">
        <v>0.9</v>
      </c>
      <c r="J196" s="16">
        <v>0.5</v>
      </c>
      <c r="K196" s="22" t="s">
        <v>253</v>
      </c>
    </row>
    <row r="197" spans="5:11" ht="17.25" thickBot="1" x14ac:dyDescent="0.3">
      <c r="E197" s="120"/>
      <c r="F197" s="20" t="s">
        <v>262</v>
      </c>
      <c r="G197" s="16">
        <v>0.8</v>
      </c>
      <c r="H197" s="16">
        <v>0.4</v>
      </c>
      <c r="I197" s="16">
        <v>1</v>
      </c>
      <c r="J197" s="16">
        <v>0.55000000000000004</v>
      </c>
      <c r="K197" s="22" t="s">
        <v>253</v>
      </c>
    </row>
    <row r="198" spans="5:11" ht="17.25" thickBot="1" x14ac:dyDescent="0.3">
      <c r="E198" s="120"/>
      <c r="F198" s="20" t="s">
        <v>263</v>
      </c>
      <c r="G198" s="16">
        <v>0.7</v>
      </c>
      <c r="H198" s="16">
        <v>0.4</v>
      </c>
      <c r="I198" s="16">
        <v>0.9</v>
      </c>
      <c r="J198" s="16">
        <v>0.5</v>
      </c>
      <c r="K198" s="22" t="s">
        <v>253</v>
      </c>
    </row>
    <row r="199" spans="5:11" ht="17.25" thickBot="1" x14ac:dyDescent="0.3">
      <c r="E199" s="120"/>
      <c r="F199" s="20" t="s">
        <v>264</v>
      </c>
      <c r="G199" s="16">
        <v>0.8</v>
      </c>
      <c r="H199" s="16">
        <v>0.4</v>
      </c>
      <c r="I199" s="16">
        <v>1</v>
      </c>
      <c r="J199" s="16">
        <v>0.55000000000000004</v>
      </c>
      <c r="K199" s="22" t="s">
        <v>253</v>
      </c>
    </row>
    <row r="200" spans="5:11" ht="17.25" thickBot="1" x14ac:dyDescent="0.3">
      <c r="E200" s="120"/>
      <c r="F200" s="20" t="s">
        <v>265</v>
      </c>
      <c r="G200" s="16">
        <v>0.7</v>
      </c>
      <c r="H200" s="16">
        <v>0.4</v>
      </c>
      <c r="I200" s="16">
        <v>0.9</v>
      </c>
      <c r="J200" s="16">
        <v>0.5</v>
      </c>
      <c r="K200" s="22" t="s">
        <v>253</v>
      </c>
    </row>
    <row r="201" spans="5:11" ht="17.25" thickBot="1" x14ac:dyDescent="0.3">
      <c r="E201" s="120"/>
      <c r="F201" s="20" t="s">
        <v>266</v>
      </c>
      <c r="G201" s="16">
        <v>0.7</v>
      </c>
      <c r="H201" s="16">
        <v>0.4</v>
      </c>
      <c r="I201" s="16">
        <v>0.9</v>
      </c>
      <c r="J201" s="16">
        <v>0.5</v>
      </c>
      <c r="K201" s="27"/>
    </row>
    <row r="202" spans="5:11" ht="17.25" thickBot="1" x14ac:dyDescent="0.3">
      <c r="E202" s="120"/>
      <c r="F202" s="20" t="s">
        <v>267</v>
      </c>
      <c r="G202" s="16">
        <v>0.7</v>
      </c>
      <c r="H202" s="16">
        <v>0.4</v>
      </c>
      <c r="I202" s="16">
        <v>0.9</v>
      </c>
      <c r="J202" s="16">
        <v>0.5</v>
      </c>
      <c r="K202" s="27"/>
    </row>
    <row r="203" spans="5:11" ht="17.25" thickBot="1" x14ac:dyDescent="0.3">
      <c r="E203" s="120"/>
      <c r="F203" s="20" t="s">
        <v>268</v>
      </c>
      <c r="G203" s="16">
        <v>0.8</v>
      </c>
      <c r="H203" s="16">
        <v>0.4</v>
      </c>
      <c r="I203" s="16">
        <v>1</v>
      </c>
      <c r="J203" s="16">
        <v>0.55000000000000004</v>
      </c>
      <c r="K203" s="22" t="s">
        <v>253</v>
      </c>
    </row>
    <row r="204" spans="5:11" ht="17.25" thickBot="1" x14ac:dyDescent="0.3">
      <c r="E204" s="120"/>
      <c r="F204" s="20" t="s">
        <v>269</v>
      </c>
      <c r="G204" s="16">
        <v>0.7</v>
      </c>
      <c r="H204" s="16">
        <v>0.4</v>
      </c>
      <c r="I204" s="16">
        <v>0.9</v>
      </c>
      <c r="J204" s="16">
        <v>0.5</v>
      </c>
      <c r="K204" s="27"/>
    </row>
    <row r="205" spans="5:11" ht="17.25" thickBot="1" x14ac:dyDescent="0.3">
      <c r="E205" s="120"/>
      <c r="F205" s="20" t="s">
        <v>270</v>
      </c>
      <c r="G205" s="16">
        <v>0.7</v>
      </c>
      <c r="H205" s="16">
        <v>0.4</v>
      </c>
      <c r="I205" s="16">
        <v>0.9</v>
      </c>
      <c r="J205" s="16">
        <v>0.5</v>
      </c>
      <c r="K205" s="22" t="s">
        <v>253</v>
      </c>
    </row>
    <row r="206" spans="5:11" ht="17.25" thickBot="1" x14ac:dyDescent="0.3">
      <c r="E206" s="120"/>
      <c r="F206" s="20" t="s">
        <v>271</v>
      </c>
      <c r="G206" s="16">
        <v>0.7</v>
      </c>
      <c r="H206" s="16">
        <v>0.4</v>
      </c>
      <c r="I206" s="16">
        <v>0.9</v>
      </c>
      <c r="J206" s="16">
        <v>0.5</v>
      </c>
      <c r="K206" s="22" t="s">
        <v>253</v>
      </c>
    </row>
    <row r="207" spans="5:11" ht="17.25" thickBot="1" x14ac:dyDescent="0.3">
      <c r="E207" s="120"/>
      <c r="F207" s="20" t="s">
        <v>272</v>
      </c>
      <c r="G207" s="16">
        <v>0.7</v>
      </c>
      <c r="H207" s="16">
        <v>0.4</v>
      </c>
      <c r="I207" s="16">
        <v>0.9</v>
      </c>
      <c r="J207" s="16">
        <v>0.5</v>
      </c>
      <c r="K207" s="22" t="s">
        <v>253</v>
      </c>
    </row>
    <row r="208" spans="5:11" ht="17.25" thickBot="1" x14ac:dyDescent="0.3">
      <c r="E208" s="120"/>
      <c r="F208" s="20" t="s">
        <v>273</v>
      </c>
      <c r="G208" s="16">
        <v>0.8</v>
      </c>
      <c r="H208" s="16">
        <v>0.4</v>
      </c>
      <c r="I208" s="16">
        <v>1</v>
      </c>
      <c r="J208" s="16">
        <v>0.55000000000000004</v>
      </c>
      <c r="K208" s="22" t="s">
        <v>253</v>
      </c>
    </row>
    <row r="209" spans="5:11" ht="17.25" thickBot="1" x14ac:dyDescent="0.3">
      <c r="E209" s="120"/>
      <c r="F209" s="21" t="s">
        <v>98</v>
      </c>
      <c r="G209" s="15">
        <v>0.7</v>
      </c>
      <c r="H209" s="15">
        <v>0.4</v>
      </c>
      <c r="I209" s="15">
        <v>0.9</v>
      </c>
      <c r="J209" s="15">
        <v>0.5</v>
      </c>
      <c r="K209" s="15"/>
    </row>
    <row r="210" spans="5:11" ht="17.25" thickBot="1" x14ac:dyDescent="0.3">
      <c r="E210" s="120"/>
      <c r="F210" s="20" t="s">
        <v>148</v>
      </c>
      <c r="G210" s="16">
        <v>0.7</v>
      </c>
      <c r="H210" s="16">
        <v>0.4</v>
      </c>
      <c r="I210" s="16">
        <v>0.9</v>
      </c>
      <c r="J210" s="16">
        <v>0.5</v>
      </c>
      <c r="K210" s="16"/>
    </row>
    <row r="211" spans="5:11" ht="17.25" thickBot="1" x14ac:dyDescent="0.3">
      <c r="E211" s="120"/>
      <c r="F211" s="20" t="s">
        <v>149</v>
      </c>
      <c r="G211" s="16">
        <v>0.7</v>
      </c>
      <c r="H211" s="16">
        <v>0.4</v>
      </c>
      <c r="I211" s="16">
        <v>0.9</v>
      </c>
      <c r="J211" s="16">
        <v>0.5</v>
      </c>
      <c r="K211" s="16"/>
    </row>
    <row r="212" spans="5:11" ht="17.25" thickBot="1" x14ac:dyDescent="0.3">
      <c r="E212" s="120"/>
      <c r="F212" s="20" t="s">
        <v>99</v>
      </c>
      <c r="G212" s="16">
        <v>0.7</v>
      </c>
      <c r="H212" s="16">
        <v>0.4</v>
      </c>
      <c r="I212" s="16">
        <v>0.9</v>
      </c>
      <c r="J212" s="16">
        <v>0.5</v>
      </c>
      <c r="K212" s="16"/>
    </row>
    <row r="213" spans="5:11" ht="17.25" thickBot="1" x14ac:dyDescent="0.3">
      <c r="E213" s="120"/>
      <c r="F213" s="20" t="s">
        <v>147</v>
      </c>
      <c r="G213" s="16">
        <v>0.7</v>
      </c>
      <c r="H213" s="16">
        <v>0.4</v>
      </c>
      <c r="I213" s="16">
        <v>0.9</v>
      </c>
      <c r="J213" s="16">
        <v>0.5</v>
      </c>
      <c r="K213" s="16"/>
    </row>
    <row r="214" spans="5:11" ht="17.25" thickBot="1" x14ac:dyDescent="0.3">
      <c r="E214" s="120"/>
      <c r="F214" s="20" t="s">
        <v>274</v>
      </c>
      <c r="G214" s="16">
        <v>0.7</v>
      </c>
      <c r="H214" s="16">
        <v>0.4</v>
      </c>
      <c r="I214" s="16">
        <v>0.9</v>
      </c>
      <c r="J214" s="16">
        <v>0.55000000000000004</v>
      </c>
      <c r="K214" s="22" t="s">
        <v>253</v>
      </c>
    </row>
    <row r="215" spans="5:11" ht="17.25" thickBot="1" x14ac:dyDescent="0.3">
      <c r="E215" s="121"/>
      <c r="F215" s="20" t="s">
        <v>275</v>
      </c>
      <c r="G215" s="16">
        <v>0.7</v>
      </c>
      <c r="H215" s="16">
        <v>0.4</v>
      </c>
      <c r="I215" s="16">
        <v>0.9</v>
      </c>
      <c r="J215" s="16">
        <v>0.5</v>
      </c>
      <c r="K215" s="16"/>
    </row>
    <row r="216" spans="5:11" ht="17.25" thickBot="1" x14ac:dyDescent="0.3">
      <c r="E216" s="119" t="s">
        <v>276</v>
      </c>
      <c r="F216" s="20" t="s">
        <v>277</v>
      </c>
      <c r="G216" s="16">
        <v>0.5</v>
      </c>
      <c r="H216" s="16">
        <v>0.35</v>
      </c>
      <c r="I216" s="16">
        <v>0.7</v>
      </c>
      <c r="J216" s="16">
        <v>0.5</v>
      </c>
      <c r="K216" s="16"/>
    </row>
    <row r="217" spans="5:11" ht="17.25" thickBot="1" x14ac:dyDescent="0.3">
      <c r="E217" s="120"/>
      <c r="F217" s="20" t="s">
        <v>278</v>
      </c>
      <c r="G217" s="16">
        <v>0.5</v>
      </c>
      <c r="H217" s="16">
        <v>0.3</v>
      </c>
      <c r="I217" s="16">
        <v>0.7</v>
      </c>
      <c r="J217" s="16">
        <v>0.45</v>
      </c>
      <c r="K217" s="16"/>
    </row>
    <row r="218" spans="5:11" ht="17.25" thickBot="1" x14ac:dyDescent="0.3">
      <c r="E218" s="120"/>
      <c r="F218" s="20" t="s">
        <v>279</v>
      </c>
      <c r="G218" s="16">
        <v>0.5</v>
      </c>
      <c r="H218" s="16">
        <v>0.35</v>
      </c>
      <c r="I218" s="16">
        <v>0.7</v>
      </c>
      <c r="J218" s="16">
        <v>0.45</v>
      </c>
      <c r="K218" s="16"/>
    </row>
    <row r="219" spans="5:11" ht="17.25" thickBot="1" x14ac:dyDescent="0.3">
      <c r="E219" s="120"/>
      <c r="F219" s="20" t="s">
        <v>280</v>
      </c>
      <c r="G219" s="16">
        <v>0.6</v>
      </c>
      <c r="H219" s="16">
        <v>0.35</v>
      </c>
      <c r="I219" s="16">
        <v>0.8</v>
      </c>
      <c r="J219" s="16">
        <v>0.5</v>
      </c>
      <c r="K219" s="16"/>
    </row>
    <row r="220" spans="5:11" ht="17.25" thickBot="1" x14ac:dyDescent="0.3">
      <c r="E220" s="120"/>
      <c r="F220" s="20" t="s">
        <v>281</v>
      </c>
      <c r="G220" s="16">
        <v>0.6</v>
      </c>
      <c r="H220" s="16">
        <v>0.35</v>
      </c>
      <c r="I220" s="16">
        <v>0.8</v>
      </c>
      <c r="J220" s="16">
        <v>0.5</v>
      </c>
      <c r="K220" s="16"/>
    </row>
    <row r="221" spans="5:11" ht="17.25" thickBot="1" x14ac:dyDescent="0.3">
      <c r="E221" s="120"/>
      <c r="F221" s="20" t="s">
        <v>282</v>
      </c>
      <c r="G221" s="16">
        <v>0.6</v>
      </c>
      <c r="H221" s="16">
        <v>0.35</v>
      </c>
      <c r="I221" s="16">
        <v>0.8</v>
      </c>
      <c r="J221" s="16">
        <v>0.5</v>
      </c>
      <c r="K221" s="16"/>
    </row>
    <row r="222" spans="5:11" ht="17.25" thickBot="1" x14ac:dyDescent="0.3">
      <c r="E222" s="120"/>
      <c r="F222" s="20" t="s">
        <v>283</v>
      </c>
      <c r="G222" s="16">
        <v>0.6</v>
      </c>
      <c r="H222" s="16">
        <v>0.35</v>
      </c>
      <c r="I222" s="16">
        <v>0.8</v>
      </c>
      <c r="J222" s="16">
        <v>0.5</v>
      </c>
      <c r="K222" s="16"/>
    </row>
    <row r="223" spans="5:11" ht="17.25" thickBot="1" x14ac:dyDescent="0.3">
      <c r="E223" s="120"/>
      <c r="F223" s="20" t="s">
        <v>284</v>
      </c>
      <c r="G223" s="16">
        <v>0.7</v>
      </c>
      <c r="H223" s="16">
        <v>0.35</v>
      </c>
      <c r="I223" s="16">
        <v>0.9</v>
      </c>
      <c r="J223" s="16">
        <v>0.5</v>
      </c>
      <c r="K223" s="16"/>
    </row>
    <row r="224" spans="5:11" ht="17.25" thickBot="1" x14ac:dyDescent="0.3">
      <c r="E224" s="120"/>
      <c r="F224" s="20" t="s">
        <v>285</v>
      </c>
      <c r="G224" s="16">
        <v>0.7</v>
      </c>
      <c r="H224" s="16">
        <v>0.35</v>
      </c>
      <c r="I224" s="16">
        <v>0.9</v>
      </c>
      <c r="J224" s="16">
        <v>0.5</v>
      </c>
      <c r="K224" s="16"/>
    </row>
    <row r="225" spans="5:11" ht="17.25" thickBot="1" x14ac:dyDescent="0.3">
      <c r="E225" s="120"/>
      <c r="F225" s="20" t="s">
        <v>286</v>
      </c>
      <c r="G225" s="16">
        <v>0.7</v>
      </c>
      <c r="H225" s="16">
        <v>0.35</v>
      </c>
      <c r="I225" s="16">
        <v>0.9</v>
      </c>
      <c r="J225" s="16">
        <v>0.5</v>
      </c>
      <c r="K225" s="16"/>
    </row>
    <row r="226" spans="5:11" ht="17.25" thickBot="1" x14ac:dyDescent="0.3">
      <c r="E226" s="120"/>
      <c r="F226" s="20" t="s">
        <v>287</v>
      </c>
      <c r="G226" s="16">
        <v>0.7</v>
      </c>
      <c r="H226" s="16">
        <v>0.35</v>
      </c>
      <c r="I226" s="16">
        <v>0.9</v>
      </c>
      <c r="J226" s="16">
        <v>0.5</v>
      </c>
      <c r="K226" s="16"/>
    </row>
    <row r="227" spans="5:11" ht="17.25" thickBot="1" x14ac:dyDescent="0.3">
      <c r="E227" s="120"/>
      <c r="F227" s="20" t="s">
        <v>288</v>
      </c>
      <c r="G227" s="16">
        <v>0.7</v>
      </c>
      <c r="H227" s="16">
        <v>0.35</v>
      </c>
      <c r="I227" s="16">
        <v>0.9</v>
      </c>
      <c r="J227" s="16">
        <v>0.5</v>
      </c>
      <c r="K227" s="16"/>
    </row>
    <row r="228" spans="5:11" ht="17.25" thickBot="1" x14ac:dyDescent="0.3">
      <c r="E228" s="120"/>
      <c r="F228" s="20" t="s">
        <v>289</v>
      </c>
      <c r="G228" s="16">
        <v>0.7</v>
      </c>
      <c r="H228" s="16">
        <v>0.35</v>
      </c>
      <c r="I228" s="16">
        <v>0.9</v>
      </c>
      <c r="J228" s="16">
        <v>0.5</v>
      </c>
      <c r="K228" s="16"/>
    </row>
    <row r="229" spans="5:11" ht="17.25" thickBot="1" x14ac:dyDescent="0.3">
      <c r="E229" s="120"/>
      <c r="F229" s="20" t="s">
        <v>290</v>
      </c>
      <c r="G229" s="16">
        <v>0.7</v>
      </c>
      <c r="H229" s="16">
        <v>0.35</v>
      </c>
      <c r="I229" s="16">
        <v>0.9</v>
      </c>
      <c r="J229" s="16">
        <v>0.5</v>
      </c>
      <c r="K229" s="16"/>
    </row>
    <row r="230" spans="5:11" ht="17.25" thickBot="1" x14ac:dyDescent="0.3">
      <c r="E230" s="120"/>
      <c r="F230" s="20" t="s">
        <v>291</v>
      </c>
      <c r="G230" s="16">
        <v>0.7</v>
      </c>
      <c r="H230" s="16">
        <v>0.35</v>
      </c>
      <c r="I230" s="16">
        <v>0.9</v>
      </c>
      <c r="J230" s="16">
        <v>0.5</v>
      </c>
      <c r="K230" s="16"/>
    </row>
    <row r="231" spans="5:11" ht="17.25" thickBot="1" x14ac:dyDescent="0.3">
      <c r="E231" s="120"/>
      <c r="F231" s="20" t="s">
        <v>292</v>
      </c>
      <c r="G231" s="16">
        <v>0.7</v>
      </c>
      <c r="H231" s="16">
        <v>0.35</v>
      </c>
      <c r="I231" s="16">
        <v>0.9</v>
      </c>
      <c r="J231" s="16">
        <v>0.5</v>
      </c>
      <c r="K231" s="16"/>
    </row>
    <row r="232" spans="5:11" ht="17.25" thickBot="1" x14ac:dyDescent="0.3">
      <c r="E232" s="120"/>
      <c r="F232" s="20" t="s">
        <v>293</v>
      </c>
      <c r="G232" s="16">
        <v>0.7</v>
      </c>
      <c r="H232" s="16">
        <v>0.35</v>
      </c>
      <c r="I232" s="16">
        <v>0.9</v>
      </c>
      <c r="J232" s="16">
        <v>0.5</v>
      </c>
      <c r="K232" s="16"/>
    </row>
    <row r="233" spans="5:11" ht="17.25" thickBot="1" x14ac:dyDescent="0.3">
      <c r="E233" s="120"/>
      <c r="F233" s="20" t="s">
        <v>294</v>
      </c>
      <c r="G233" s="16">
        <v>0.7</v>
      </c>
      <c r="H233" s="16">
        <v>0.35</v>
      </c>
      <c r="I233" s="16">
        <v>0.9</v>
      </c>
      <c r="J233" s="16">
        <v>0.5</v>
      </c>
      <c r="K233" s="16"/>
    </row>
    <row r="234" spans="5:11" ht="17.25" thickBot="1" x14ac:dyDescent="0.3">
      <c r="E234" s="120"/>
      <c r="F234" s="20" t="s">
        <v>295</v>
      </c>
      <c r="G234" s="16">
        <v>0.7</v>
      </c>
      <c r="H234" s="16">
        <v>0.4</v>
      </c>
      <c r="I234" s="16">
        <v>0.9</v>
      </c>
      <c r="J234" s="16">
        <v>0.5</v>
      </c>
      <c r="K234" s="16"/>
    </row>
    <row r="235" spans="5:11" ht="17.25" thickBot="1" x14ac:dyDescent="0.3">
      <c r="E235" s="120"/>
      <c r="F235" s="20" t="s">
        <v>296</v>
      </c>
      <c r="G235" s="16">
        <v>0.7</v>
      </c>
      <c r="H235" s="16">
        <v>0.4</v>
      </c>
      <c r="I235" s="16">
        <v>0.9</v>
      </c>
      <c r="J235" s="16">
        <v>0.5</v>
      </c>
      <c r="K235" s="16"/>
    </row>
    <row r="236" spans="5:11" ht="17.25" thickBot="1" x14ac:dyDescent="0.3">
      <c r="E236" s="120"/>
      <c r="F236" s="20" t="s">
        <v>297</v>
      </c>
      <c r="G236" s="16">
        <v>0.7</v>
      </c>
      <c r="H236" s="16">
        <v>0.4</v>
      </c>
      <c r="I236" s="16">
        <v>0.9</v>
      </c>
      <c r="J236" s="16">
        <v>0.5</v>
      </c>
      <c r="K236" s="16"/>
    </row>
    <row r="237" spans="5:11" ht="17.25" thickBot="1" x14ac:dyDescent="0.3">
      <c r="E237" s="120"/>
      <c r="F237" s="20" t="s">
        <v>298</v>
      </c>
      <c r="G237" s="16">
        <v>0.7</v>
      </c>
      <c r="H237" s="16">
        <v>0.4</v>
      </c>
      <c r="I237" s="16">
        <v>0.9</v>
      </c>
      <c r="J237" s="16">
        <v>0.5</v>
      </c>
      <c r="K237" s="16"/>
    </row>
    <row r="238" spans="5:11" ht="17.25" thickBot="1" x14ac:dyDescent="0.3">
      <c r="E238" s="120"/>
      <c r="F238" s="20" t="s">
        <v>299</v>
      </c>
      <c r="G238" s="16">
        <v>0.7</v>
      </c>
      <c r="H238" s="16">
        <v>0.4</v>
      </c>
      <c r="I238" s="16">
        <v>0.9</v>
      </c>
      <c r="J238" s="16">
        <v>0.5</v>
      </c>
      <c r="K238" s="16"/>
    </row>
    <row r="239" spans="5:11" ht="17.25" thickBot="1" x14ac:dyDescent="0.3">
      <c r="E239" s="120"/>
      <c r="F239" s="20" t="s">
        <v>300</v>
      </c>
      <c r="G239" s="16">
        <v>0.7</v>
      </c>
      <c r="H239" s="16">
        <v>0.4</v>
      </c>
      <c r="I239" s="16">
        <v>0.9</v>
      </c>
      <c r="J239" s="16">
        <v>0.5</v>
      </c>
      <c r="K239" s="16"/>
    </row>
    <row r="240" spans="5:11" ht="17.25" thickBot="1" x14ac:dyDescent="0.3">
      <c r="E240" s="120"/>
      <c r="F240" s="20" t="s">
        <v>301</v>
      </c>
      <c r="G240" s="16">
        <v>0.7</v>
      </c>
      <c r="H240" s="16">
        <v>0.4</v>
      </c>
      <c r="I240" s="16">
        <v>0.9</v>
      </c>
      <c r="J240" s="16">
        <v>0.5</v>
      </c>
      <c r="K240" s="16"/>
    </row>
    <row r="241" spans="5:11" ht="17.25" thickBot="1" x14ac:dyDescent="0.3">
      <c r="E241" s="120"/>
      <c r="F241" s="20" t="s">
        <v>302</v>
      </c>
      <c r="G241" s="16">
        <v>0.7</v>
      </c>
      <c r="H241" s="16">
        <v>0.4</v>
      </c>
      <c r="I241" s="16">
        <v>0.9</v>
      </c>
      <c r="J241" s="16">
        <v>0.5</v>
      </c>
      <c r="K241" s="16"/>
    </row>
    <row r="242" spans="5:11" ht="17.25" thickBot="1" x14ac:dyDescent="0.3">
      <c r="E242" s="120"/>
      <c r="F242" s="20" t="s">
        <v>303</v>
      </c>
      <c r="G242" s="16">
        <v>0.7</v>
      </c>
      <c r="H242" s="16">
        <v>0.4</v>
      </c>
      <c r="I242" s="16">
        <v>0.9</v>
      </c>
      <c r="J242" s="16">
        <v>0.5</v>
      </c>
      <c r="K242" s="16"/>
    </row>
    <row r="243" spans="5:11" ht="17.25" thickBot="1" x14ac:dyDescent="0.3">
      <c r="E243" s="120"/>
      <c r="F243" s="20" t="s">
        <v>304</v>
      </c>
      <c r="G243" s="16">
        <v>0.6</v>
      </c>
      <c r="H243" s="16">
        <v>0.35</v>
      </c>
      <c r="I243" s="16">
        <v>0.8</v>
      </c>
      <c r="J243" s="16">
        <v>0.5</v>
      </c>
      <c r="K243" s="16"/>
    </row>
    <row r="244" spans="5:11" ht="17.25" thickBot="1" x14ac:dyDescent="0.3">
      <c r="E244" s="120"/>
      <c r="F244" s="20" t="s">
        <v>305</v>
      </c>
      <c r="G244" s="16">
        <v>0.6</v>
      </c>
      <c r="H244" s="16">
        <v>0.35</v>
      </c>
      <c r="I244" s="16">
        <v>0.8</v>
      </c>
      <c r="J244" s="16">
        <v>0.5</v>
      </c>
      <c r="K244" s="16"/>
    </row>
    <row r="245" spans="5:11" ht="17.25" thickBot="1" x14ac:dyDescent="0.3">
      <c r="E245" s="120"/>
      <c r="F245" s="20" t="s">
        <v>306</v>
      </c>
      <c r="G245" s="16">
        <v>0.6</v>
      </c>
      <c r="H245" s="16">
        <v>0.35</v>
      </c>
      <c r="I245" s="16">
        <v>0.8</v>
      </c>
      <c r="J245" s="16">
        <v>0.5</v>
      </c>
      <c r="K245" s="16"/>
    </row>
    <row r="246" spans="5:11" ht="17.25" thickBot="1" x14ac:dyDescent="0.3">
      <c r="E246" s="120"/>
      <c r="F246" s="20" t="s">
        <v>307</v>
      </c>
      <c r="G246" s="16">
        <v>0.6</v>
      </c>
      <c r="H246" s="16">
        <v>0.35</v>
      </c>
      <c r="I246" s="16">
        <v>0.8</v>
      </c>
      <c r="J246" s="16">
        <v>0.5</v>
      </c>
      <c r="K246" s="16"/>
    </row>
    <row r="247" spans="5:11" ht="17.25" thickBot="1" x14ac:dyDescent="0.3">
      <c r="E247" s="120"/>
      <c r="F247" s="20" t="s">
        <v>308</v>
      </c>
      <c r="G247" s="16">
        <v>0.6</v>
      </c>
      <c r="H247" s="16">
        <v>0.35</v>
      </c>
      <c r="I247" s="16">
        <v>0.8</v>
      </c>
      <c r="J247" s="16">
        <v>0.5</v>
      </c>
      <c r="K247" s="16"/>
    </row>
    <row r="248" spans="5:11" ht="17.25" thickBot="1" x14ac:dyDescent="0.3">
      <c r="E248" s="120"/>
      <c r="F248" s="20" t="s">
        <v>309</v>
      </c>
      <c r="G248" s="16">
        <v>0.6</v>
      </c>
      <c r="H248" s="16">
        <v>0.35</v>
      </c>
      <c r="I248" s="16">
        <v>0.8</v>
      </c>
      <c r="J248" s="16">
        <v>0.5</v>
      </c>
      <c r="K248" s="16"/>
    </row>
    <row r="249" spans="5:11" ht="17.25" thickBot="1" x14ac:dyDescent="0.3">
      <c r="E249" s="120"/>
      <c r="F249" s="20" t="s">
        <v>310</v>
      </c>
      <c r="G249" s="16">
        <v>0.6</v>
      </c>
      <c r="H249" s="16">
        <v>0.35</v>
      </c>
      <c r="I249" s="16">
        <v>0.8</v>
      </c>
      <c r="J249" s="16">
        <v>0.5</v>
      </c>
      <c r="K249" s="16"/>
    </row>
    <row r="250" spans="5:11" ht="17.25" thickBot="1" x14ac:dyDescent="0.3">
      <c r="E250" s="120"/>
      <c r="F250" s="20" t="s">
        <v>311</v>
      </c>
      <c r="G250" s="16">
        <v>0.5</v>
      </c>
      <c r="H250" s="16">
        <v>0.35</v>
      </c>
      <c r="I250" s="16">
        <v>0.7</v>
      </c>
      <c r="J250" s="16">
        <v>0.5</v>
      </c>
      <c r="K250" s="16"/>
    </row>
    <row r="251" spans="5:11" ht="17.25" thickBot="1" x14ac:dyDescent="0.3">
      <c r="E251" s="120"/>
      <c r="F251" s="21" t="s">
        <v>312</v>
      </c>
      <c r="G251" s="15">
        <v>0.5</v>
      </c>
      <c r="H251" s="15">
        <v>0.35</v>
      </c>
      <c r="I251" s="15">
        <v>0.7</v>
      </c>
      <c r="J251" s="15">
        <v>0.5</v>
      </c>
      <c r="K251" s="15"/>
    </row>
    <row r="252" spans="5:11" ht="17.25" thickBot="1" x14ac:dyDescent="0.3">
      <c r="E252" s="120"/>
      <c r="F252" s="20" t="s">
        <v>313</v>
      </c>
      <c r="G252" s="16">
        <v>0.5</v>
      </c>
      <c r="H252" s="16">
        <v>0.35</v>
      </c>
      <c r="I252" s="16">
        <v>0.7</v>
      </c>
      <c r="J252" s="16">
        <v>0.5</v>
      </c>
      <c r="K252" s="16"/>
    </row>
    <row r="253" spans="5:11" ht="17.25" thickBot="1" x14ac:dyDescent="0.3">
      <c r="E253" s="121"/>
      <c r="F253" s="20" t="s">
        <v>314</v>
      </c>
      <c r="G253" s="16">
        <v>0.5</v>
      </c>
      <c r="H253" s="16">
        <v>0.35</v>
      </c>
      <c r="I253" s="16">
        <v>0.7</v>
      </c>
      <c r="J253" s="16">
        <v>0.45</v>
      </c>
      <c r="K253" s="16"/>
    </row>
    <row r="254" spans="5:11" ht="17.25" thickBot="1" x14ac:dyDescent="0.3">
      <c r="E254" s="119" t="s">
        <v>315</v>
      </c>
      <c r="F254" s="20" t="s">
        <v>316</v>
      </c>
      <c r="G254" s="16">
        <v>0.6</v>
      </c>
      <c r="H254" s="16">
        <v>0.35</v>
      </c>
      <c r="I254" s="16">
        <v>0.8</v>
      </c>
      <c r="J254" s="16">
        <v>0.5</v>
      </c>
      <c r="K254" s="16"/>
    </row>
    <row r="255" spans="5:11" ht="17.25" thickBot="1" x14ac:dyDescent="0.3">
      <c r="E255" s="120"/>
      <c r="F255" s="20" t="s">
        <v>317</v>
      </c>
      <c r="G255" s="16">
        <v>0.6</v>
      </c>
      <c r="H255" s="16">
        <v>0.3</v>
      </c>
      <c r="I255" s="16">
        <v>0.8</v>
      </c>
      <c r="J255" s="16">
        <v>0.45</v>
      </c>
      <c r="K255" s="16"/>
    </row>
    <row r="256" spans="5:11" ht="17.25" thickBot="1" x14ac:dyDescent="0.3">
      <c r="E256" s="120"/>
      <c r="F256" s="20" t="s">
        <v>318</v>
      </c>
      <c r="G256" s="16">
        <v>0.5</v>
      </c>
      <c r="H256" s="16">
        <v>0.3</v>
      </c>
      <c r="I256" s="16">
        <v>0.7</v>
      </c>
      <c r="J256" s="16">
        <v>0.4</v>
      </c>
      <c r="K256" s="16"/>
    </row>
    <row r="257" spans="5:11" ht="17.25" thickBot="1" x14ac:dyDescent="0.3">
      <c r="E257" s="120"/>
      <c r="F257" s="20" t="s">
        <v>319</v>
      </c>
      <c r="G257" s="16">
        <v>0.5</v>
      </c>
      <c r="H257" s="16">
        <v>0.3</v>
      </c>
      <c r="I257" s="16">
        <v>0.7</v>
      </c>
      <c r="J257" s="16">
        <v>0.4</v>
      </c>
      <c r="K257" s="16"/>
    </row>
    <row r="258" spans="5:11" ht="17.25" thickBot="1" x14ac:dyDescent="0.3">
      <c r="E258" s="120"/>
      <c r="F258" s="20" t="s">
        <v>320</v>
      </c>
      <c r="G258" s="16">
        <v>0.6</v>
      </c>
      <c r="H258" s="16">
        <v>0.35</v>
      </c>
      <c r="I258" s="16">
        <v>0.8</v>
      </c>
      <c r="J258" s="16">
        <v>0.45</v>
      </c>
      <c r="K258" s="16"/>
    </row>
    <row r="259" spans="5:11" ht="17.25" thickBot="1" x14ac:dyDescent="0.3">
      <c r="E259" s="120"/>
      <c r="F259" s="20" t="s">
        <v>321</v>
      </c>
      <c r="G259" s="16">
        <v>0.7</v>
      </c>
      <c r="H259" s="16">
        <v>0.35</v>
      </c>
      <c r="I259" s="16">
        <v>0.8</v>
      </c>
      <c r="J259" s="16">
        <v>0.5</v>
      </c>
      <c r="K259" s="16"/>
    </row>
    <row r="260" spans="5:11" ht="17.25" thickBot="1" x14ac:dyDescent="0.3">
      <c r="E260" s="120"/>
      <c r="F260" s="20" t="s">
        <v>322</v>
      </c>
      <c r="G260" s="16">
        <v>0.7</v>
      </c>
      <c r="H260" s="16">
        <v>0.35</v>
      </c>
      <c r="I260" s="16">
        <v>0.9</v>
      </c>
      <c r="J260" s="16">
        <v>0.5</v>
      </c>
      <c r="K260" s="16"/>
    </row>
    <row r="261" spans="5:11" ht="17.25" thickBot="1" x14ac:dyDescent="0.3">
      <c r="E261" s="120"/>
      <c r="F261" s="20" t="s">
        <v>323</v>
      </c>
      <c r="G261" s="16">
        <v>0.6</v>
      </c>
      <c r="H261" s="16">
        <v>0.35</v>
      </c>
      <c r="I261" s="16">
        <v>0.8</v>
      </c>
      <c r="J261" s="16">
        <v>0.5</v>
      </c>
      <c r="K261" s="16"/>
    </row>
    <row r="262" spans="5:11" ht="17.25" thickBot="1" x14ac:dyDescent="0.3">
      <c r="E262" s="120"/>
      <c r="F262" s="20" t="s">
        <v>324</v>
      </c>
      <c r="G262" s="16">
        <v>0.7</v>
      </c>
      <c r="H262" s="16">
        <v>0.35</v>
      </c>
      <c r="I262" s="16">
        <v>0.9</v>
      </c>
      <c r="J262" s="16">
        <v>0.5</v>
      </c>
      <c r="K262" s="16"/>
    </row>
    <row r="263" spans="5:11" ht="17.25" thickBot="1" x14ac:dyDescent="0.3">
      <c r="E263" s="120"/>
      <c r="F263" s="20" t="s">
        <v>325</v>
      </c>
      <c r="G263" s="16">
        <v>0.6</v>
      </c>
      <c r="H263" s="16">
        <v>0.35</v>
      </c>
      <c r="I263" s="16">
        <v>0.8</v>
      </c>
      <c r="J263" s="16">
        <v>0.5</v>
      </c>
      <c r="K263" s="16"/>
    </row>
    <row r="264" spans="5:11" ht="17.25" thickBot="1" x14ac:dyDescent="0.3">
      <c r="E264" s="120"/>
      <c r="F264" s="20" t="s">
        <v>326</v>
      </c>
      <c r="G264" s="16">
        <v>0.7</v>
      </c>
      <c r="H264" s="16">
        <v>0.4</v>
      </c>
      <c r="I264" s="16">
        <v>0.9</v>
      </c>
      <c r="J264" s="16">
        <v>0.5</v>
      </c>
      <c r="K264" s="16"/>
    </row>
    <row r="265" spans="5:11" ht="17.25" thickBot="1" x14ac:dyDescent="0.3">
      <c r="E265" s="120"/>
      <c r="F265" s="20" t="s">
        <v>327</v>
      </c>
      <c r="G265" s="16">
        <v>0.6</v>
      </c>
      <c r="H265" s="16">
        <v>0.35</v>
      </c>
      <c r="I265" s="16">
        <v>0.8</v>
      </c>
      <c r="J265" s="16">
        <v>0.45</v>
      </c>
      <c r="K265" s="16"/>
    </row>
    <row r="266" spans="5:11" ht="17.25" thickBot="1" x14ac:dyDescent="0.3">
      <c r="E266" s="120"/>
      <c r="F266" s="20" t="s">
        <v>328</v>
      </c>
      <c r="G266" s="16">
        <v>0.6</v>
      </c>
      <c r="H266" s="16">
        <v>0.35</v>
      </c>
      <c r="I266" s="16">
        <v>0.8</v>
      </c>
      <c r="J266" s="16">
        <v>0.5</v>
      </c>
      <c r="K266" s="16"/>
    </row>
    <row r="267" spans="5:11" ht="17.25" thickBot="1" x14ac:dyDescent="0.3">
      <c r="E267" s="120"/>
      <c r="F267" s="20" t="s">
        <v>329</v>
      </c>
      <c r="G267" s="16">
        <v>0.6</v>
      </c>
      <c r="H267" s="16">
        <v>0.35</v>
      </c>
      <c r="I267" s="16">
        <v>0.8</v>
      </c>
      <c r="J267" s="16">
        <v>0.45</v>
      </c>
      <c r="K267" s="16"/>
    </row>
    <row r="268" spans="5:11" ht="17.25" thickBot="1" x14ac:dyDescent="0.3">
      <c r="E268" s="120"/>
      <c r="F268" s="20" t="s">
        <v>330</v>
      </c>
      <c r="G268" s="16">
        <v>0.6</v>
      </c>
      <c r="H268" s="16">
        <v>0.3</v>
      </c>
      <c r="I268" s="16">
        <v>0.7</v>
      </c>
      <c r="J268" s="16">
        <v>0.4</v>
      </c>
      <c r="K268" s="16"/>
    </row>
    <row r="269" spans="5:11" ht="17.25" thickBot="1" x14ac:dyDescent="0.3">
      <c r="E269" s="120"/>
      <c r="F269" s="20" t="s">
        <v>331</v>
      </c>
      <c r="G269" s="16">
        <v>0.5</v>
      </c>
      <c r="H269" s="16">
        <v>0.3</v>
      </c>
      <c r="I269" s="16">
        <v>0.7</v>
      </c>
      <c r="J269" s="16">
        <v>0.4</v>
      </c>
      <c r="K269" s="16"/>
    </row>
    <row r="270" spans="5:11" ht="17.25" thickBot="1" x14ac:dyDescent="0.3">
      <c r="E270" s="120"/>
      <c r="F270" s="20" t="s">
        <v>332</v>
      </c>
      <c r="G270" s="16">
        <v>0.5</v>
      </c>
      <c r="H270" s="16">
        <v>0.3</v>
      </c>
      <c r="I270" s="16">
        <v>0.7</v>
      </c>
      <c r="J270" s="16">
        <v>0.45</v>
      </c>
      <c r="K270" s="16"/>
    </row>
    <row r="271" spans="5:11" ht="17.25" thickBot="1" x14ac:dyDescent="0.3">
      <c r="E271" s="120"/>
      <c r="F271" s="20" t="s">
        <v>333</v>
      </c>
      <c r="G271" s="16">
        <v>0.5</v>
      </c>
      <c r="H271" s="16">
        <v>0.3</v>
      </c>
      <c r="I271" s="16">
        <v>0.8</v>
      </c>
      <c r="J271" s="16">
        <v>0.45</v>
      </c>
      <c r="K271" s="16"/>
    </row>
    <row r="272" spans="5:11" ht="17.25" thickBot="1" x14ac:dyDescent="0.3">
      <c r="E272" s="120"/>
      <c r="F272" s="20" t="s">
        <v>334</v>
      </c>
      <c r="G272" s="16">
        <v>0.5</v>
      </c>
      <c r="H272" s="16">
        <v>0.3</v>
      </c>
      <c r="I272" s="16">
        <v>0.7</v>
      </c>
      <c r="J272" s="16">
        <v>0.4</v>
      </c>
      <c r="K272" s="16"/>
    </row>
    <row r="273" spans="5:11" ht="17.25" thickBot="1" x14ac:dyDescent="0.3">
      <c r="E273" s="120"/>
      <c r="F273" s="20" t="s">
        <v>335</v>
      </c>
      <c r="G273" s="16">
        <v>0.5</v>
      </c>
      <c r="H273" s="16">
        <v>0.3</v>
      </c>
      <c r="I273" s="16">
        <v>0.7</v>
      </c>
      <c r="J273" s="16">
        <v>0.4</v>
      </c>
      <c r="K273" s="16"/>
    </row>
    <row r="274" spans="5:11" ht="17.25" thickBot="1" x14ac:dyDescent="0.3">
      <c r="E274" s="120"/>
      <c r="F274" s="20" t="s">
        <v>336</v>
      </c>
      <c r="G274" s="16">
        <v>0.5</v>
      </c>
      <c r="H274" s="16">
        <v>0.3</v>
      </c>
      <c r="I274" s="16">
        <v>0.7</v>
      </c>
      <c r="J274" s="16">
        <v>0.4</v>
      </c>
      <c r="K274" s="16"/>
    </row>
    <row r="275" spans="5:11" ht="17.25" thickBot="1" x14ac:dyDescent="0.3">
      <c r="E275" s="120"/>
      <c r="F275" s="20" t="s">
        <v>337</v>
      </c>
      <c r="G275" s="16">
        <v>0.5</v>
      </c>
      <c r="H275" s="16">
        <v>0.3</v>
      </c>
      <c r="I275" s="16">
        <v>0.7</v>
      </c>
      <c r="J275" s="16">
        <v>0.4</v>
      </c>
      <c r="K275" s="16"/>
    </row>
    <row r="276" spans="5:11" ht="17.25" thickBot="1" x14ac:dyDescent="0.3">
      <c r="E276" s="120"/>
      <c r="F276" s="20" t="s">
        <v>338</v>
      </c>
      <c r="G276" s="16">
        <v>0.5</v>
      </c>
      <c r="H276" s="16">
        <v>0.3</v>
      </c>
      <c r="I276" s="16">
        <v>0.7</v>
      </c>
      <c r="J276" s="16">
        <v>0.4</v>
      </c>
      <c r="K276" s="16"/>
    </row>
    <row r="277" spans="5:11" ht="17.25" thickBot="1" x14ac:dyDescent="0.3">
      <c r="E277" s="120"/>
      <c r="F277" s="20" t="s">
        <v>339</v>
      </c>
      <c r="G277" s="16">
        <v>0.5</v>
      </c>
      <c r="H277" s="16">
        <v>0.3</v>
      </c>
      <c r="I277" s="16">
        <v>0.7</v>
      </c>
      <c r="J277" s="16">
        <v>0.4</v>
      </c>
      <c r="K277" s="16"/>
    </row>
    <row r="278" spans="5:11" ht="17.25" thickBot="1" x14ac:dyDescent="0.3">
      <c r="E278" s="120"/>
      <c r="F278" s="20" t="s">
        <v>340</v>
      </c>
      <c r="G278" s="16">
        <v>0.5</v>
      </c>
      <c r="H278" s="16">
        <v>0.3</v>
      </c>
      <c r="I278" s="16">
        <v>0.7</v>
      </c>
      <c r="J278" s="16">
        <v>0.4</v>
      </c>
      <c r="K278" s="16"/>
    </row>
    <row r="279" spans="5:11" ht="17.25" thickBot="1" x14ac:dyDescent="0.3">
      <c r="E279" s="120"/>
      <c r="F279" s="20" t="s">
        <v>341</v>
      </c>
      <c r="G279" s="16">
        <v>0.7</v>
      </c>
      <c r="H279" s="16">
        <v>0.4</v>
      </c>
      <c r="I279" s="16">
        <v>0.9</v>
      </c>
      <c r="J279" s="16">
        <v>0.5</v>
      </c>
      <c r="K279" s="16"/>
    </row>
    <row r="280" spans="5:11" ht="17.25" thickBot="1" x14ac:dyDescent="0.3">
      <c r="E280" s="120"/>
      <c r="F280" s="20" t="s">
        <v>342</v>
      </c>
      <c r="G280" s="16">
        <v>0.7</v>
      </c>
      <c r="H280" s="16">
        <v>0.4</v>
      </c>
      <c r="I280" s="16">
        <v>0.9</v>
      </c>
      <c r="J280" s="16">
        <v>0.5</v>
      </c>
      <c r="K280" s="16"/>
    </row>
    <row r="281" spans="5:11" ht="17.25" thickBot="1" x14ac:dyDescent="0.3">
      <c r="E281" s="120"/>
      <c r="F281" s="20" t="s">
        <v>343</v>
      </c>
      <c r="G281" s="16">
        <v>0.7</v>
      </c>
      <c r="H281" s="16">
        <v>0.35</v>
      </c>
      <c r="I281" s="16">
        <v>0.9</v>
      </c>
      <c r="J281" s="16">
        <v>0.5</v>
      </c>
      <c r="K281" s="16"/>
    </row>
    <row r="282" spans="5:11" ht="17.25" thickBot="1" x14ac:dyDescent="0.3">
      <c r="E282" s="120"/>
      <c r="F282" s="20" t="s">
        <v>344</v>
      </c>
      <c r="G282" s="16">
        <v>0.7</v>
      </c>
      <c r="H282" s="16">
        <v>0.35</v>
      </c>
      <c r="I282" s="16">
        <v>0.9</v>
      </c>
      <c r="J282" s="16">
        <v>0.5</v>
      </c>
      <c r="K282" s="16"/>
    </row>
    <row r="283" spans="5:11" ht="17.25" thickBot="1" x14ac:dyDescent="0.3">
      <c r="E283" s="120"/>
      <c r="F283" s="20" t="s">
        <v>345</v>
      </c>
      <c r="G283" s="16">
        <v>0.6</v>
      </c>
      <c r="H283" s="16">
        <v>0.3</v>
      </c>
      <c r="I283" s="16">
        <v>0.8</v>
      </c>
      <c r="J283" s="16">
        <v>0.45</v>
      </c>
      <c r="K283" s="16"/>
    </row>
    <row r="284" spans="5:11" ht="17.25" thickBot="1" x14ac:dyDescent="0.3">
      <c r="E284" s="120"/>
      <c r="F284" s="20" t="s">
        <v>346</v>
      </c>
      <c r="G284" s="16">
        <v>0.5</v>
      </c>
      <c r="H284" s="16">
        <v>0.3</v>
      </c>
      <c r="I284" s="16">
        <v>0.7</v>
      </c>
      <c r="J284" s="16">
        <v>0.4</v>
      </c>
      <c r="K284" s="16"/>
    </row>
    <row r="285" spans="5:11" ht="17.25" thickBot="1" x14ac:dyDescent="0.3">
      <c r="E285" s="120"/>
      <c r="F285" s="20" t="s">
        <v>347</v>
      </c>
      <c r="G285" s="16">
        <v>0.5</v>
      </c>
      <c r="H285" s="16">
        <v>0.3</v>
      </c>
      <c r="I285" s="16">
        <v>0.7</v>
      </c>
      <c r="J285" s="16">
        <v>0.4</v>
      </c>
      <c r="K285" s="16"/>
    </row>
    <row r="286" spans="5:11" ht="17.25" thickBot="1" x14ac:dyDescent="0.3">
      <c r="E286" s="121"/>
      <c r="F286" s="20" t="s">
        <v>348</v>
      </c>
      <c r="G286" s="16">
        <v>0.5</v>
      </c>
      <c r="H286" s="16">
        <v>0.3</v>
      </c>
      <c r="I286" s="16">
        <v>0.7</v>
      </c>
      <c r="J286" s="16">
        <v>0.4</v>
      </c>
      <c r="K286" s="16"/>
    </row>
    <row r="287" spans="5:11" ht="17.25" thickBot="1" x14ac:dyDescent="0.3">
      <c r="E287" s="119" t="s">
        <v>349</v>
      </c>
      <c r="F287" s="20" t="s">
        <v>350</v>
      </c>
      <c r="G287" s="16">
        <v>0.5</v>
      </c>
      <c r="H287" s="16">
        <v>0.3</v>
      </c>
      <c r="I287" s="16">
        <v>0.7</v>
      </c>
      <c r="J287" s="16">
        <v>0.4</v>
      </c>
      <c r="K287" s="16"/>
    </row>
    <row r="288" spans="5:11" ht="17.25" thickBot="1" x14ac:dyDescent="0.3">
      <c r="E288" s="120"/>
      <c r="F288" s="20" t="s">
        <v>351</v>
      </c>
      <c r="G288" s="16">
        <v>0.5</v>
      </c>
      <c r="H288" s="16">
        <v>0.3</v>
      </c>
      <c r="I288" s="16">
        <v>0.7</v>
      </c>
      <c r="J288" s="16">
        <v>0.4</v>
      </c>
      <c r="K288" s="16"/>
    </row>
    <row r="289" spans="5:11" ht="17.25" thickBot="1" x14ac:dyDescent="0.3">
      <c r="E289" s="120"/>
      <c r="F289" s="20" t="s">
        <v>352</v>
      </c>
      <c r="G289" s="16">
        <v>0.5</v>
      </c>
      <c r="H289" s="16">
        <v>0.3</v>
      </c>
      <c r="I289" s="16">
        <v>0.7</v>
      </c>
      <c r="J289" s="16">
        <v>0.4</v>
      </c>
      <c r="K289" s="16"/>
    </row>
    <row r="290" spans="5:11" ht="17.25" thickBot="1" x14ac:dyDescent="0.3">
      <c r="E290" s="120"/>
      <c r="F290" s="20" t="s">
        <v>353</v>
      </c>
      <c r="G290" s="16">
        <v>0.5</v>
      </c>
      <c r="H290" s="16">
        <v>0.3</v>
      </c>
      <c r="I290" s="16">
        <v>0.7</v>
      </c>
      <c r="J290" s="16">
        <v>0.4</v>
      </c>
      <c r="K290" s="16"/>
    </row>
    <row r="291" spans="5:11" ht="17.25" thickBot="1" x14ac:dyDescent="0.3">
      <c r="E291" s="121"/>
      <c r="F291" s="20" t="s">
        <v>354</v>
      </c>
      <c r="G291" s="16">
        <v>0.5</v>
      </c>
      <c r="H291" s="16">
        <v>0.3</v>
      </c>
      <c r="I291" s="16">
        <v>0.7</v>
      </c>
      <c r="J291" s="16">
        <v>0.4</v>
      </c>
      <c r="K291" s="16"/>
    </row>
    <row r="292" spans="5:11" ht="17.25" thickBot="1" x14ac:dyDescent="0.3">
      <c r="E292" s="119" t="s">
        <v>355</v>
      </c>
      <c r="F292" s="20" t="s">
        <v>356</v>
      </c>
      <c r="G292" s="16">
        <v>0.8</v>
      </c>
      <c r="H292" s="16">
        <v>0.45</v>
      </c>
      <c r="I292" s="16">
        <v>1</v>
      </c>
      <c r="J292" s="16">
        <v>0.55000000000000004</v>
      </c>
      <c r="K292" s="16"/>
    </row>
    <row r="293" spans="5:11" ht="24.75" thickBot="1" x14ac:dyDescent="0.3">
      <c r="E293" s="120"/>
      <c r="F293" s="21" t="s">
        <v>357</v>
      </c>
      <c r="G293" s="15">
        <v>0.8</v>
      </c>
      <c r="H293" s="15">
        <v>0.45</v>
      </c>
      <c r="I293" s="15">
        <v>1</v>
      </c>
      <c r="J293" s="15">
        <v>0.55000000000000004</v>
      </c>
      <c r="K293" s="25" t="s">
        <v>358</v>
      </c>
    </row>
    <row r="294" spans="5:11" ht="24.75" thickBot="1" x14ac:dyDescent="0.3">
      <c r="E294" s="120"/>
      <c r="F294" s="20" t="s">
        <v>359</v>
      </c>
      <c r="G294" s="16">
        <v>0.8</v>
      </c>
      <c r="H294" s="16">
        <v>0.45</v>
      </c>
      <c r="I294" s="16">
        <v>1</v>
      </c>
      <c r="J294" s="16">
        <v>0.55000000000000004</v>
      </c>
      <c r="K294" s="22" t="s">
        <v>358</v>
      </c>
    </row>
    <row r="295" spans="5:11" ht="17.25" thickBot="1" x14ac:dyDescent="0.3">
      <c r="E295" s="120"/>
      <c r="F295" s="20" t="s">
        <v>360</v>
      </c>
      <c r="G295" s="16">
        <v>0.8</v>
      </c>
      <c r="H295" s="16">
        <v>0.45</v>
      </c>
      <c r="I295" s="16">
        <v>1</v>
      </c>
      <c r="J295" s="16">
        <v>0.55000000000000004</v>
      </c>
      <c r="K295" s="27"/>
    </row>
    <row r="296" spans="5:11" ht="24.75" thickBot="1" x14ac:dyDescent="0.3">
      <c r="E296" s="120"/>
      <c r="F296" s="20" t="s">
        <v>361</v>
      </c>
      <c r="G296" s="16">
        <v>0.8</v>
      </c>
      <c r="H296" s="16">
        <v>0.45</v>
      </c>
      <c r="I296" s="16">
        <v>1</v>
      </c>
      <c r="J296" s="16">
        <v>0.55000000000000004</v>
      </c>
      <c r="K296" s="22" t="s">
        <v>358</v>
      </c>
    </row>
    <row r="297" spans="5:11" ht="24.75" thickBot="1" x14ac:dyDescent="0.3">
      <c r="E297" s="120"/>
      <c r="F297" s="20" t="s">
        <v>362</v>
      </c>
      <c r="G297" s="16">
        <v>0.8</v>
      </c>
      <c r="H297" s="16">
        <v>0.45</v>
      </c>
      <c r="I297" s="16">
        <v>1</v>
      </c>
      <c r="J297" s="16">
        <v>0.55000000000000004</v>
      </c>
      <c r="K297" s="22" t="s">
        <v>358</v>
      </c>
    </row>
    <row r="298" spans="5:11" ht="24.75" thickBot="1" x14ac:dyDescent="0.3">
      <c r="E298" s="120"/>
      <c r="F298" s="20" t="s">
        <v>363</v>
      </c>
      <c r="G298" s="16">
        <v>0.8</v>
      </c>
      <c r="H298" s="16">
        <v>0.45</v>
      </c>
      <c r="I298" s="16">
        <v>1</v>
      </c>
      <c r="J298" s="16">
        <v>0.55000000000000004</v>
      </c>
      <c r="K298" s="22" t="s">
        <v>358</v>
      </c>
    </row>
    <row r="299" spans="5:11" ht="24.75" thickBot="1" x14ac:dyDescent="0.3">
      <c r="E299" s="120"/>
      <c r="F299" s="20" t="s">
        <v>364</v>
      </c>
      <c r="G299" s="16">
        <v>0.8</v>
      </c>
      <c r="H299" s="16">
        <v>0.45</v>
      </c>
      <c r="I299" s="16">
        <v>1</v>
      </c>
      <c r="J299" s="16">
        <v>0.55000000000000004</v>
      </c>
      <c r="K299" s="22" t="s">
        <v>358</v>
      </c>
    </row>
    <row r="300" spans="5:11" ht="17.25" thickBot="1" x14ac:dyDescent="0.3">
      <c r="E300" s="120"/>
      <c r="F300" s="20" t="s">
        <v>365</v>
      </c>
      <c r="G300" s="16">
        <v>0.7</v>
      </c>
      <c r="H300" s="16">
        <v>0.4</v>
      </c>
      <c r="I300" s="16">
        <v>0.9</v>
      </c>
      <c r="J300" s="16">
        <v>0.55000000000000004</v>
      </c>
      <c r="K300" s="27"/>
    </row>
    <row r="301" spans="5:11" ht="17.25" thickBot="1" x14ac:dyDescent="0.3">
      <c r="E301" s="120"/>
      <c r="F301" s="20" t="s">
        <v>366</v>
      </c>
      <c r="G301" s="16">
        <v>0.6</v>
      </c>
      <c r="H301" s="16">
        <v>0.3</v>
      </c>
      <c r="I301" s="16">
        <v>0.8</v>
      </c>
      <c r="J301" s="16">
        <v>0.45</v>
      </c>
      <c r="K301" s="27"/>
    </row>
    <row r="302" spans="5:11" ht="17.25" thickBot="1" x14ac:dyDescent="0.3">
      <c r="E302" s="120"/>
      <c r="F302" s="20" t="s">
        <v>367</v>
      </c>
      <c r="G302" s="16">
        <v>0.8</v>
      </c>
      <c r="H302" s="16">
        <v>0.45</v>
      </c>
      <c r="I302" s="16">
        <v>1</v>
      </c>
      <c r="J302" s="16">
        <v>0.55000000000000004</v>
      </c>
      <c r="K302" s="27"/>
    </row>
    <row r="303" spans="5:11" ht="24.75" thickBot="1" x14ac:dyDescent="0.3">
      <c r="E303" s="120"/>
      <c r="F303" s="20" t="s">
        <v>368</v>
      </c>
      <c r="G303" s="16">
        <v>0.8</v>
      </c>
      <c r="H303" s="16">
        <v>0.45</v>
      </c>
      <c r="I303" s="16">
        <v>1</v>
      </c>
      <c r="J303" s="16">
        <v>0.55000000000000004</v>
      </c>
      <c r="K303" s="22" t="s">
        <v>358</v>
      </c>
    </row>
    <row r="304" spans="5:11" ht="17.25" thickBot="1" x14ac:dyDescent="0.3">
      <c r="E304" s="120"/>
      <c r="F304" s="20" t="s">
        <v>369</v>
      </c>
      <c r="G304" s="16">
        <v>0.8</v>
      </c>
      <c r="H304" s="16">
        <v>0.45</v>
      </c>
      <c r="I304" s="16">
        <v>1</v>
      </c>
      <c r="J304" s="16">
        <v>0.55000000000000004</v>
      </c>
      <c r="K304" s="27"/>
    </row>
    <row r="305" spans="5:11" ht="17.25" thickBot="1" x14ac:dyDescent="0.3">
      <c r="E305" s="120"/>
      <c r="F305" s="20" t="s">
        <v>370</v>
      </c>
      <c r="G305" s="16">
        <v>0.7</v>
      </c>
      <c r="H305" s="16">
        <v>0.4</v>
      </c>
      <c r="I305" s="16">
        <v>0.9</v>
      </c>
      <c r="J305" s="16">
        <v>0.5</v>
      </c>
      <c r="K305" s="27"/>
    </row>
    <row r="306" spans="5:11" ht="17.25" thickBot="1" x14ac:dyDescent="0.3">
      <c r="E306" s="120"/>
      <c r="F306" s="20" t="s">
        <v>371</v>
      </c>
      <c r="G306" s="16">
        <v>0.6</v>
      </c>
      <c r="H306" s="16">
        <v>0.3</v>
      </c>
      <c r="I306" s="16">
        <v>0.8</v>
      </c>
      <c r="J306" s="16">
        <v>0.45</v>
      </c>
      <c r="K306" s="27"/>
    </row>
    <row r="307" spans="5:11" ht="17.25" thickBot="1" x14ac:dyDescent="0.3">
      <c r="E307" s="121"/>
      <c r="F307" s="20" t="s">
        <v>372</v>
      </c>
      <c r="G307" s="16">
        <v>0.8</v>
      </c>
      <c r="H307" s="16">
        <v>0.4</v>
      </c>
      <c r="I307" s="16">
        <v>0.9</v>
      </c>
      <c r="J307" s="16">
        <v>0.55000000000000004</v>
      </c>
      <c r="K307" s="27"/>
    </row>
    <row r="308" spans="5:11" ht="24.75" thickBot="1" x14ac:dyDescent="0.3">
      <c r="E308" s="119" t="s">
        <v>373</v>
      </c>
      <c r="F308" s="20" t="s">
        <v>374</v>
      </c>
      <c r="G308" s="16">
        <v>0.8</v>
      </c>
      <c r="H308" s="16">
        <v>0.45</v>
      </c>
      <c r="I308" s="16">
        <v>1</v>
      </c>
      <c r="J308" s="16">
        <v>0.55000000000000004</v>
      </c>
      <c r="K308" s="22" t="s">
        <v>358</v>
      </c>
    </row>
    <row r="309" spans="5:11" ht="24.75" thickBot="1" x14ac:dyDescent="0.3">
      <c r="E309" s="120"/>
      <c r="F309" s="20" t="s">
        <v>375</v>
      </c>
      <c r="G309" s="16">
        <v>0.8</v>
      </c>
      <c r="H309" s="16">
        <v>0.45</v>
      </c>
      <c r="I309" s="16">
        <v>1</v>
      </c>
      <c r="J309" s="16">
        <v>0.55000000000000004</v>
      </c>
      <c r="K309" s="22" t="s">
        <v>358</v>
      </c>
    </row>
    <row r="310" spans="5:11" ht="24.75" thickBot="1" x14ac:dyDescent="0.3">
      <c r="E310" s="120"/>
      <c r="F310" s="20" t="s">
        <v>376</v>
      </c>
      <c r="G310" s="16">
        <v>0.8</v>
      </c>
      <c r="H310" s="16">
        <v>0.45</v>
      </c>
      <c r="I310" s="16">
        <v>1</v>
      </c>
      <c r="J310" s="16">
        <v>0.55000000000000004</v>
      </c>
      <c r="K310" s="22" t="s">
        <v>358</v>
      </c>
    </row>
    <row r="311" spans="5:11" ht="24.75" thickBot="1" x14ac:dyDescent="0.3">
      <c r="E311" s="120"/>
      <c r="F311" s="20" t="s">
        <v>377</v>
      </c>
      <c r="G311" s="16">
        <v>0.8</v>
      </c>
      <c r="H311" s="16">
        <v>0.45</v>
      </c>
      <c r="I311" s="16">
        <v>1</v>
      </c>
      <c r="J311" s="16">
        <v>0.55000000000000004</v>
      </c>
      <c r="K311" s="22" t="s">
        <v>358</v>
      </c>
    </row>
    <row r="312" spans="5:11" ht="24.75" thickBot="1" x14ac:dyDescent="0.3">
      <c r="E312" s="120"/>
      <c r="F312" s="20" t="s">
        <v>378</v>
      </c>
      <c r="G312" s="16">
        <v>0.8</v>
      </c>
      <c r="H312" s="16">
        <v>0.45</v>
      </c>
      <c r="I312" s="16">
        <v>1</v>
      </c>
      <c r="J312" s="16">
        <v>0.55000000000000004</v>
      </c>
      <c r="K312" s="22" t="s">
        <v>358</v>
      </c>
    </row>
    <row r="313" spans="5:11" ht="24.75" thickBot="1" x14ac:dyDescent="0.3">
      <c r="E313" s="120"/>
      <c r="F313" s="20" t="s">
        <v>379</v>
      </c>
      <c r="G313" s="16">
        <v>0.8</v>
      </c>
      <c r="H313" s="16">
        <v>0.45</v>
      </c>
      <c r="I313" s="16">
        <v>1</v>
      </c>
      <c r="J313" s="16">
        <v>0.55000000000000004</v>
      </c>
      <c r="K313" s="22" t="s">
        <v>358</v>
      </c>
    </row>
    <row r="314" spans="5:11" ht="24.75" thickBot="1" x14ac:dyDescent="0.3">
      <c r="E314" s="120"/>
      <c r="F314" s="20" t="s">
        <v>380</v>
      </c>
      <c r="G314" s="16">
        <v>0.8</v>
      </c>
      <c r="H314" s="16">
        <v>0.45</v>
      </c>
      <c r="I314" s="16">
        <v>1</v>
      </c>
      <c r="J314" s="16">
        <v>0.55000000000000004</v>
      </c>
      <c r="K314" s="22" t="s">
        <v>358</v>
      </c>
    </row>
    <row r="315" spans="5:11" ht="24.75" thickBot="1" x14ac:dyDescent="0.3">
      <c r="E315" s="120"/>
      <c r="F315" s="20" t="s">
        <v>381</v>
      </c>
      <c r="G315" s="16">
        <v>0.8</v>
      </c>
      <c r="H315" s="16">
        <v>0.45</v>
      </c>
      <c r="I315" s="16">
        <v>1</v>
      </c>
      <c r="J315" s="16">
        <v>0.55000000000000004</v>
      </c>
      <c r="K315" s="22" t="s">
        <v>358</v>
      </c>
    </row>
    <row r="316" spans="5:11" ht="24.75" thickBot="1" x14ac:dyDescent="0.3">
      <c r="E316" s="120"/>
      <c r="F316" s="20" t="s">
        <v>382</v>
      </c>
      <c r="G316" s="16">
        <v>0.8</v>
      </c>
      <c r="H316" s="16">
        <v>0.45</v>
      </c>
      <c r="I316" s="16">
        <v>1</v>
      </c>
      <c r="J316" s="16">
        <v>0.55000000000000004</v>
      </c>
      <c r="K316" s="22" t="s">
        <v>358</v>
      </c>
    </row>
    <row r="317" spans="5:11" ht="24.75" thickBot="1" x14ac:dyDescent="0.3">
      <c r="E317" s="120"/>
      <c r="F317" s="20" t="s">
        <v>383</v>
      </c>
      <c r="G317" s="16">
        <v>0.8</v>
      </c>
      <c r="H317" s="16">
        <v>0.45</v>
      </c>
      <c r="I317" s="16">
        <v>1</v>
      </c>
      <c r="J317" s="16">
        <v>0.55000000000000004</v>
      </c>
      <c r="K317" s="22" t="s">
        <v>358</v>
      </c>
    </row>
    <row r="318" spans="5:11" ht="24.75" thickBot="1" x14ac:dyDescent="0.3">
      <c r="E318" s="120"/>
      <c r="F318" s="20" t="s">
        <v>384</v>
      </c>
      <c r="G318" s="16">
        <v>0.8</v>
      </c>
      <c r="H318" s="16">
        <v>0.45</v>
      </c>
      <c r="I318" s="16">
        <v>1</v>
      </c>
      <c r="J318" s="16">
        <v>0.55000000000000004</v>
      </c>
      <c r="K318" s="22" t="s">
        <v>358</v>
      </c>
    </row>
    <row r="319" spans="5:11" ht="24.75" thickBot="1" x14ac:dyDescent="0.3">
      <c r="E319" s="120"/>
      <c r="F319" s="20" t="s">
        <v>385</v>
      </c>
      <c r="G319" s="16">
        <v>0.8</v>
      </c>
      <c r="H319" s="16">
        <v>0.45</v>
      </c>
      <c r="I319" s="16">
        <v>1</v>
      </c>
      <c r="J319" s="16">
        <v>0.55000000000000004</v>
      </c>
      <c r="K319" s="22" t="s">
        <v>358</v>
      </c>
    </row>
    <row r="320" spans="5:11" ht="24.75" thickBot="1" x14ac:dyDescent="0.3">
      <c r="E320" s="121"/>
      <c r="F320" s="20" t="s">
        <v>386</v>
      </c>
      <c r="G320" s="16">
        <v>0.8</v>
      </c>
      <c r="H320" s="16">
        <v>0.45</v>
      </c>
      <c r="I320" s="16">
        <v>1</v>
      </c>
      <c r="J320" s="16">
        <v>0.55000000000000004</v>
      </c>
      <c r="K320" s="22" t="s">
        <v>358</v>
      </c>
    </row>
    <row r="321" spans="5:25" ht="31.5" customHeight="1" x14ac:dyDescent="0.25">
      <c r="E321" s="29" t="s">
        <v>389</v>
      </c>
      <c r="F321" s="33"/>
      <c r="G321" s="28">
        <v>0.5</v>
      </c>
      <c r="H321" s="28">
        <v>0.3</v>
      </c>
      <c r="I321" s="28">
        <v>0.7</v>
      </c>
      <c r="J321" s="28">
        <v>0.4</v>
      </c>
      <c r="K321" s="33"/>
    </row>
    <row r="322" spans="5:25" x14ac:dyDescent="0.25">
      <c r="R322" s="30"/>
      <c r="Y322" s="1"/>
    </row>
  </sheetData>
  <mergeCells count="26">
    <mergeCell ref="E176:E177"/>
    <mergeCell ref="E1:E2"/>
    <mergeCell ref="F1:F2"/>
    <mergeCell ref="K1:K2"/>
    <mergeCell ref="E3:E9"/>
    <mergeCell ref="F58:F59"/>
    <mergeCell ref="G58:G59"/>
    <mergeCell ref="H58:H59"/>
    <mergeCell ref="I58:I59"/>
    <mergeCell ref="J58:J59"/>
    <mergeCell ref="Q9:Q10"/>
    <mergeCell ref="E292:E307"/>
    <mergeCell ref="E254:E286"/>
    <mergeCell ref="E287:E291"/>
    <mergeCell ref="E308:E320"/>
    <mergeCell ref="E10:E21"/>
    <mergeCell ref="E22:E34"/>
    <mergeCell ref="E51:E69"/>
    <mergeCell ref="E99:E124"/>
    <mergeCell ref="E125:E137"/>
    <mergeCell ref="E138:E157"/>
    <mergeCell ref="E35:E50"/>
    <mergeCell ref="E70:E98"/>
    <mergeCell ref="E158:E175"/>
    <mergeCell ref="E178:E215"/>
    <mergeCell ref="E216:E253"/>
  </mergeCells>
  <phoneticPr fontId="1" type="noConversion"/>
  <dataValidations count="1">
    <dataValidation type="list" allowBlank="1" showInputMessage="1" showErrorMessage="1" sqref="A1">
      <formula1>構架型式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1"/>
  <sheetViews>
    <sheetView workbookViewId="0">
      <pane ySplit="1" topLeftCell="A88" activePane="bottomLeft" state="frozen"/>
      <selection pane="bottomLeft" activeCell="H115" sqref="H115"/>
    </sheetView>
  </sheetViews>
  <sheetFormatPr defaultRowHeight="16.5" x14ac:dyDescent="0.25"/>
  <cols>
    <col min="1" max="1" width="30.75" customWidth="1"/>
    <col min="2" max="2" width="9" customWidth="1"/>
    <col min="5" max="5" width="7.625" customWidth="1"/>
    <col min="6" max="6" width="15.875" style="57" customWidth="1"/>
    <col min="7" max="7" width="15.625" style="57" customWidth="1"/>
    <col min="8" max="8" width="10.625" style="60" bestFit="1" customWidth="1"/>
    <col min="9" max="9" width="14.5" style="60" customWidth="1"/>
    <col min="10" max="10" width="9.25" style="60" bestFit="1" customWidth="1"/>
    <col min="11" max="11" width="10.625" style="60" bestFit="1" customWidth="1"/>
    <col min="12" max="12" width="9.25" style="60" bestFit="1" customWidth="1"/>
    <col min="13" max="13" width="13.5" style="57" customWidth="1"/>
    <col min="14" max="14" width="16" style="57" customWidth="1"/>
    <col min="15" max="15" width="16" customWidth="1"/>
  </cols>
  <sheetData>
    <row r="1" spans="1:15" ht="19.5" x14ac:dyDescent="0.25">
      <c r="A1" s="42" t="s">
        <v>455</v>
      </c>
      <c r="B1" s="42" t="s">
        <v>572</v>
      </c>
      <c r="C1" s="42" t="s">
        <v>457</v>
      </c>
      <c r="D1" s="42" t="s">
        <v>458</v>
      </c>
      <c r="E1" s="42" t="s">
        <v>459</v>
      </c>
      <c r="F1" s="55" t="s">
        <v>575</v>
      </c>
      <c r="G1" s="55" t="s">
        <v>576</v>
      </c>
      <c r="H1" s="58" t="s">
        <v>577</v>
      </c>
      <c r="I1" s="58" t="s">
        <v>578</v>
      </c>
      <c r="J1" s="58" t="s">
        <v>573</v>
      </c>
      <c r="K1" s="58" t="s">
        <v>579</v>
      </c>
      <c r="L1" s="58" t="s">
        <v>574</v>
      </c>
      <c r="M1" s="55" t="s">
        <v>461</v>
      </c>
      <c r="N1" s="55" t="s">
        <v>580</v>
      </c>
      <c r="O1" s="42" t="s">
        <v>462</v>
      </c>
    </row>
    <row r="2" spans="1:15" x14ac:dyDescent="0.25">
      <c r="A2" s="62" t="s">
        <v>463</v>
      </c>
      <c r="B2" s="54">
        <v>100</v>
      </c>
      <c r="C2" s="54">
        <v>50</v>
      </c>
      <c r="D2" s="54">
        <v>5</v>
      </c>
      <c r="E2" s="54">
        <v>7</v>
      </c>
      <c r="F2" s="56">
        <f>(B2-2*E2)*D2/100</f>
        <v>4.3</v>
      </c>
      <c r="G2" s="56">
        <f>(C2*2*E2+(B2-2*E2)*D2)/100</f>
        <v>11.3</v>
      </c>
      <c r="H2" s="59">
        <f>(C2*E2*(B2-E2)+0.25*(B2-2*E2)^2*D2)/1000</f>
        <v>41.795000000000002</v>
      </c>
      <c r="I2" s="59">
        <f>(1/12*C2*B2^3-1/12*(C2-D2)*(B2-2*E2)^3)/10000</f>
        <v>178.14566666666661</v>
      </c>
      <c r="J2" s="59">
        <f>SQRT(I2/G2)</f>
        <v>3.9705293406342879</v>
      </c>
      <c r="K2" s="61">
        <f>(1/12*C2^3*B2-1/12*(C2^3*(B2-2*E2))+1/12*(B2-2*E2)*D2^3)/10000</f>
        <v>14.672916666666671</v>
      </c>
      <c r="L2" s="61">
        <f>SQRT(K2/G2)</f>
        <v>1.139512264343816</v>
      </c>
      <c r="M2" s="56">
        <v>9.3000000000000007</v>
      </c>
      <c r="N2" s="56">
        <f t="shared" ref="N2:N33" si="0">M2/G2*10000</f>
        <v>8230.0884955752226</v>
      </c>
      <c r="O2" s="54">
        <v>7850</v>
      </c>
    </row>
    <row r="3" spans="1:15" x14ac:dyDescent="0.25">
      <c r="A3" s="62" t="s">
        <v>464</v>
      </c>
      <c r="B3" s="54">
        <v>100</v>
      </c>
      <c r="C3" s="54">
        <v>100</v>
      </c>
      <c r="D3" s="54">
        <v>6</v>
      </c>
      <c r="E3" s="54">
        <v>8</v>
      </c>
      <c r="F3" s="56">
        <f t="shared" ref="F3:F66" si="1">(B3-2*E3)*D3/100</f>
        <v>5.04</v>
      </c>
      <c r="G3" s="56">
        <f t="shared" ref="G3:G66" si="2">(C3*2*E3+(B3-2*E3)*D3)/100</f>
        <v>21.04</v>
      </c>
      <c r="H3" s="59">
        <f t="shared" ref="H3:H66" si="3">(C3*E3*(B3-E3)+0.25*(B3-2*E3)^2*D3)/1000</f>
        <v>84.183999999999997</v>
      </c>
      <c r="I3" s="59">
        <f t="shared" ref="I3:I66" si="4">(1/12*C3*B3^3-1/12*(C3-D3)*(B3-2*E3)^3)/10000</f>
        <v>369.04853333333318</v>
      </c>
      <c r="J3" s="59">
        <f t="shared" ref="J3:J66" si="5">SQRT(I3/G3)</f>
        <v>4.1881176596475846</v>
      </c>
      <c r="K3" s="61">
        <f t="shared" ref="K3:K66" si="6">(1/12*C3^3*B3-1/12*(C3^3*(B3-2*E3))+1/12*(B3-2*E3)*D3^3)/10000</f>
        <v>133.4845333333333</v>
      </c>
      <c r="L3" s="61">
        <f t="shared" ref="L3:L66" si="7">SQRT(K3/G3)</f>
        <v>2.5187937443326369</v>
      </c>
      <c r="M3" s="56">
        <v>16.899999999999999</v>
      </c>
      <c r="N3" s="56">
        <f t="shared" si="0"/>
        <v>8032.319391634981</v>
      </c>
      <c r="O3" s="54"/>
    </row>
    <row r="4" spans="1:15" x14ac:dyDescent="0.25">
      <c r="A4" s="62" t="s">
        <v>465</v>
      </c>
      <c r="B4" s="54">
        <v>125</v>
      </c>
      <c r="C4" s="54">
        <v>60</v>
      </c>
      <c r="D4" s="54">
        <v>6</v>
      </c>
      <c r="E4" s="54">
        <v>8</v>
      </c>
      <c r="F4" s="56">
        <f t="shared" si="1"/>
        <v>6.54</v>
      </c>
      <c r="G4" s="56">
        <f t="shared" si="2"/>
        <v>16.14</v>
      </c>
      <c r="H4" s="59">
        <f t="shared" si="3"/>
        <v>73.981499999999997</v>
      </c>
      <c r="I4" s="59">
        <f t="shared" si="4"/>
        <v>393.79944999999998</v>
      </c>
      <c r="J4" s="59">
        <f t="shared" si="5"/>
        <v>4.9395318196438263</v>
      </c>
      <c r="K4" s="61">
        <f t="shared" si="6"/>
        <v>28.996200000000002</v>
      </c>
      <c r="L4" s="61">
        <f t="shared" si="7"/>
        <v>1.3403517265738005</v>
      </c>
      <c r="M4" s="56">
        <v>13.1</v>
      </c>
      <c r="N4" s="56">
        <f t="shared" si="0"/>
        <v>8116.4807930607185</v>
      </c>
      <c r="O4" s="54"/>
    </row>
    <row r="5" spans="1:15" x14ac:dyDescent="0.25">
      <c r="A5" s="62" t="s">
        <v>466</v>
      </c>
      <c r="B5" s="54">
        <v>125</v>
      </c>
      <c r="C5" s="54">
        <v>125</v>
      </c>
      <c r="D5" s="54">
        <v>6.5</v>
      </c>
      <c r="E5" s="54">
        <v>9</v>
      </c>
      <c r="F5" s="56">
        <f t="shared" si="1"/>
        <v>6.9550000000000001</v>
      </c>
      <c r="G5" s="56">
        <f t="shared" si="2"/>
        <v>29.454999999999998</v>
      </c>
      <c r="H5" s="59">
        <f t="shared" si="3"/>
        <v>149.104625</v>
      </c>
      <c r="I5" s="59">
        <f t="shared" si="4"/>
        <v>824.7752458333332</v>
      </c>
      <c r="J5" s="59">
        <f t="shared" si="5"/>
        <v>5.2916156889302073</v>
      </c>
      <c r="K5" s="61">
        <f t="shared" si="6"/>
        <v>293.21362395833336</v>
      </c>
      <c r="L5" s="61">
        <f t="shared" si="7"/>
        <v>3.1550958636177233</v>
      </c>
      <c r="M5" s="56">
        <v>23.6</v>
      </c>
      <c r="N5" s="56">
        <f t="shared" si="0"/>
        <v>8012.2220336105929</v>
      </c>
      <c r="O5" s="54"/>
    </row>
    <row r="6" spans="1:15" x14ac:dyDescent="0.25">
      <c r="A6" s="62" t="s">
        <v>467</v>
      </c>
      <c r="B6" s="54">
        <v>150</v>
      </c>
      <c r="C6" s="54">
        <v>75</v>
      </c>
      <c r="D6" s="54">
        <v>5</v>
      </c>
      <c r="E6" s="54">
        <v>7</v>
      </c>
      <c r="F6" s="56">
        <f t="shared" si="1"/>
        <v>6.8</v>
      </c>
      <c r="G6" s="56">
        <f t="shared" si="2"/>
        <v>17.3</v>
      </c>
      <c r="H6" s="59">
        <f t="shared" si="3"/>
        <v>98.194999999999993</v>
      </c>
      <c r="I6" s="59">
        <f t="shared" si="4"/>
        <v>642.02566666666678</v>
      </c>
      <c r="J6" s="59">
        <f t="shared" si="5"/>
        <v>6.0919053022799075</v>
      </c>
      <c r="K6" s="61">
        <f t="shared" si="6"/>
        <v>49.360416666666666</v>
      </c>
      <c r="L6" s="61">
        <f t="shared" si="7"/>
        <v>1.689142763513453</v>
      </c>
      <c r="M6" s="56">
        <v>14</v>
      </c>
      <c r="N6" s="56">
        <f t="shared" si="0"/>
        <v>8092.4855491329472</v>
      </c>
      <c r="O6" s="54"/>
    </row>
    <row r="7" spans="1:15" x14ac:dyDescent="0.25">
      <c r="A7" s="62" t="s">
        <v>468</v>
      </c>
      <c r="B7" s="54">
        <v>148</v>
      </c>
      <c r="C7" s="54">
        <v>100</v>
      </c>
      <c r="D7" s="54">
        <v>6</v>
      </c>
      <c r="E7" s="54">
        <v>9</v>
      </c>
      <c r="F7" s="56">
        <f t="shared" si="1"/>
        <v>7.8</v>
      </c>
      <c r="G7" s="56">
        <f t="shared" si="2"/>
        <v>25.8</v>
      </c>
      <c r="H7" s="59">
        <f t="shared" si="3"/>
        <v>150.44999999999999</v>
      </c>
      <c r="I7" s="59">
        <f t="shared" si="4"/>
        <v>980.50999999999965</v>
      </c>
      <c r="J7" s="59">
        <f t="shared" si="5"/>
        <v>6.1647598141283213</v>
      </c>
      <c r="K7" s="61">
        <f t="shared" si="6"/>
        <v>150.23400000000001</v>
      </c>
      <c r="L7" s="61">
        <f t="shared" si="7"/>
        <v>2.413094124938759</v>
      </c>
      <c r="M7" s="56">
        <v>20.7</v>
      </c>
      <c r="N7" s="56">
        <f t="shared" si="0"/>
        <v>8023.2558139534885</v>
      </c>
      <c r="O7" s="54"/>
    </row>
    <row r="8" spans="1:15" x14ac:dyDescent="0.25">
      <c r="A8" s="62" t="s">
        <v>469</v>
      </c>
      <c r="B8" s="54">
        <v>150</v>
      </c>
      <c r="C8" s="54">
        <v>150</v>
      </c>
      <c r="D8" s="54">
        <v>7</v>
      </c>
      <c r="E8" s="54">
        <v>10</v>
      </c>
      <c r="F8" s="56">
        <f t="shared" si="1"/>
        <v>9.1</v>
      </c>
      <c r="G8" s="56">
        <f t="shared" si="2"/>
        <v>39.1</v>
      </c>
      <c r="H8" s="59">
        <f t="shared" si="3"/>
        <v>239.57499999999999</v>
      </c>
      <c r="I8" s="59">
        <f t="shared" si="4"/>
        <v>1600.6583333333335</v>
      </c>
      <c r="J8" s="59">
        <f t="shared" si="5"/>
        <v>6.3982461098477952</v>
      </c>
      <c r="K8" s="61">
        <f t="shared" si="6"/>
        <v>562.87158333333332</v>
      </c>
      <c r="L8" s="61">
        <f t="shared" si="7"/>
        <v>3.7941656089806748</v>
      </c>
      <c r="M8" s="56">
        <v>31.1</v>
      </c>
      <c r="N8" s="56">
        <f t="shared" si="0"/>
        <v>7953.9641943734023</v>
      </c>
      <c r="O8" s="54"/>
    </row>
    <row r="9" spans="1:15" x14ac:dyDescent="0.25">
      <c r="A9" s="62" t="s">
        <v>470</v>
      </c>
      <c r="B9" s="54">
        <v>175</v>
      </c>
      <c r="C9" s="54">
        <v>90</v>
      </c>
      <c r="D9" s="54">
        <v>5</v>
      </c>
      <c r="E9" s="54">
        <v>8</v>
      </c>
      <c r="F9" s="56">
        <f t="shared" si="1"/>
        <v>7.95</v>
      </c>
      <c r="G9" s="56">
        <f t="shared" si="2"/>
        <v>22.35</v>
      </c>
      <c r="H9" s="59">
        <f t="shared" si="3"/>
        <v>151.84125</v>
      </c>
      <c r="I9" s="59">
        <f t="shared" si="4"/>
        <v>1172.2586249999999</v>
      </c>
      <c r="J9" s="59">
        <f t="shared" si="5"/>
        <v>7.2422406985387102</v>
      </c>
      <c r="K9" s="61">
        <f t="shared" si="6"/>
        <v>97.365624999999994</v>
      </c>
      <c r="L9" s="61">
        <f t="shared" si="7"/>
        <v>2.0871999911680699</v>
      </c>
      <c r="M9" s="56">
        <v>18</v>
      </c>
      <c r="N9" s="56">
        <f t="shared" si="0"/>
        <v>8053.6912751677846</v>
      </c>
      <c r="O9" s="54"/>
    </row>
    <row r="10" spans="1:15" x14ac:dyDescent="0.25">
      <c r="A10" s="62" t="s">
        <v>471</v>
      </c>
      <c r="B10" s="54">
        <v>175</v>
      </c>
      <c r="C10" s="54">
        <v>175</v>
      </c>
      <c r="D10" s="54">
        <v>7.5</v>
      </c>
      <c r="E10" s="54">
        <v>11</v>
      </c>
      <c r="F10" s="56">
        <f t="shared" si="1"/>
        <v>11.475</v>
      </c>
      <c r="G10" s="56">
        <f t="shared" si="2"/>
        <v>49.975000000000001</v>
      </c>
      <c r="H10" s="59">
        <f t="shared" si="3"/>
        <v>359.59187500000002</v>
      </c>
      <c r="I10" s="59">
        <f t="shared" si="4"/>
        <v>2816.4706458333335</v>
      </c>
      <c r="J10" s="59">
        <f t="shared" si="5"/>
        <v>7.5071693541922269</v>
      </c>
      <c r="K10" s="61">
        <f t="shared" si="6"/>
        <v>983.08997395833285</v>
      </c>
      <c r="L10" s="61">
        <f t="shared" si="7"/>
        <v>4.4352717275061133</v>
      </c>
      <c r="M10" s="56">
        <v>40.4</v>
      </c>
      <c r="N10" s="56">
        <f t="shared" si="0"/>
        <v>8084.0420210105049</v>
      </c>
      <c r="O10" s="54"/>
    </row>
    <row r="11" spans="1:15" x14ac:dyDescent="0.25">
      <c r="A11" s="62" t="s">
        <v>472</v>
      </c>
      <c r="B11" s="54">
        <v>198</v>
      </c>
      <c r="C11" s="54">
        <v>99</v>
      </c>
      <c r="D11" s="54">
        <v>4.5</v>
      </c>
      <c r="E11" s="54">
        <v>7</v>
      </c>
      <c r="F11" s="56">
        <f t="shared" si="1"/>
        <v>8.2799999999999994</v>
      </c>
      <c r="G11" s="56">
        <f t="shared" si="2"/>
        <v>22.14</v>
      </c>
      <c r="H11" s="59">
        <f t="shared" si="3"/>
        <v>170.45099999999999</v>
      </c>
      <c r="I11" s="59">
        <f t="shared" si="4"/>
        <v>1498.239</v>
      </c>
      <c r="J11" s="59">
        <f t="shared" si="5"/>
        <v>8.2262469092157762</v>
      </c>
      <c r="K11" s="61">
        <f t="shared" si="6"/>
        <v>113.341275</v>
      </c>
      <c r="L11" s="61">
        <f t="shared" si="7"/>
        <v>2.2625867454061965</v>
      </c>
      <c r="M11" s="56">
        <v>17.8</v>
      </c>
      <c r="N11" s="56">
        <f t="shared" si="0"/>
        <v>8039.7470641373084</v>
      </c>
      <c r="O11" s="54"/>
    </row>
    <row r="12" spans="1:15" x14ac:dyDescent="0.25">
      <c r="A12" s="62" t="s">
        <v>473</v>
      </c>
      <c r="B12" s="54">
        <v>200</v>
      </c>
      <c r="C12" s="54">
        <v>100</v>
      </c>
      <c r="D12" s="54">
        <v>5.5</v>
      </c>
      <c r="E12" s="54">
        <v>8</v>
      </c>
      <c r="F12" s="56">
        <f t="shared" si="1"/>
        <v>10.119999999999999</v>
      </c>
      <c r="G12" s="56">
        <f t="shared" si="2"/>
        <v>26.12</v>
      </c>
      <c r="H12" s="59">
        <f t="shared" si="3"/>
        <v>200.15199999999999</v>
      </c>
      <c r="I12" s="59">
        <f t="shared" si="4"/>
        <v>1760.9322666666658</v>
      </c>
      <c r="J12" s="59">
        <f t="shared" si="5"/>
        <v>8.2107861181434298</v>
      </c>
      <c r="K12" s="61">
        <f t="shared" si="6"/>
        <v>133.58844166666671</v>
      </c>
      <c r="L12" s="61">
        <f t="shared" si="7"/>
        <v>2.2615065794018592</v>
      </c>
      <c r="M12" s="56">
        <v>20.9</v>
      </c>
      <c r="N12" s="56">
        <f t="shared" si="0"/>
        <v>8001.5313935681461</v>
      </c>
      <c r="O12" s="54"/>
    </row>
    <row r="13" spans="1:15" x14ac:dyDescent="0.25">
      <c r="A13" s="62" t="s">
        <v>474</v>
      </c>
      <c r="B13" s="54">
        <v>194</v>
      </c>
      <c r="C13" s="54">
        <v>150</v>
      </c>
      <c r="D13" s="54">
        <v>6</v>
      </c>
      <c r="E13" s="54">
        <v>9</v>
      </c>
      <c r="F13" s="56">
        <f t="shared" si="1"/>
        <v>10.56</v>
      </c>
      <c r="G13" s="56">
        <f t="shared" si="2"/>
        <v>37.56</v>
      </c>
      <c r="H13" s="59">
        <f t="shared" si="3"/>
        <v>296.214</v>
      </c>
      <c r="I13" s="59">
        <f t="shared" si="4"/>
        <v>2584.5988000000002</v>
      </c>
      <c r="J13" s="59">
        <f t="shared" si="5"/>
        <v>8.295332097709446</v>
      </c>
      <c r="K13" s="61">
        <f t="shared" si="6"/>
        <v>506.5668</v>
      </c>
      <c r="L13" s="61">
        <f t="shared" si="7"/>
        <v>3.6724472779857118</v>
      </c>
      <c r="M13" s="56">
        <v>29.9</v>
      </c>
      <c r="N13" s="56">
        <f t="shared" si="0"/>
        <v>7960.5963791267295</v>
      </c>
      <c r="O13" s="54"/>
    </row>
    <row r="14" spans="1:15" x14ac:dyDescent="0.25">
      <c r="A14" s="62" t="s">
        <v>475</v>
      </c>
      <c r="B14" s="54">
        <v>200</v>
      </c>
      <c r="C14" s="54">
        <v>200</v>
      </c>
      <c r="D14" s="54">
        <v>8</v>
      </c>
      <c r="E14" s="54">
        <v>12</v>
      </c>
      <c r="F14" s="56">
        <f t="shared" si="1"/>
        <v>14.08</v>
      </c>
      <c r="G14" s="56">
        <f t="shared" si="2"/>
        <v>62.08</v>
      </c>
      <c r="H14" s="59">
        <f t="shared" si="3"/>
        <v>513.15200000000004</v>
      </c>
      <c r="I14" s="59">
        <f t="shared" si="4"/>
        <v>4610.4917333333315</v>
      </c>
      <c r="J14" s="59">
        <f t="shared" si="5"/>
        <v>8.6178269639599971</v>
      </c>
      <c r="K14" s="61">
        <f t="shared" si="6"/>
        <v>1600.7509333333335</v>
      </c>
      <c r="L14" s="61">
        <f t="shared" si="7"/>
        <v>5.0779220254174771</v>
      </c>
      <c r="M14" s="56">
        <v>49.9</v>
      </c>
      <c r="N14" s="56">
        <f t="shared" si="0"/>
        <v>8038.0154639175262</v>
      </c>
      <c r="O14" s="54"/>
    </row>
    <row r="15" spans="1:15" x14ac:dyDescent="0.25">
      <c r="A15" s="62" t="s">
        <v>476</v>
      </c>
      <c r="B15" s="54">
        <v>200</v>
      </c>
      <c r="C15" s="54">
        <v>204</v>
      </c>
      <c r="D15" s="54">
        <v>12</v>
      </c>
      <c r="E15" s="54">
        <v>12</v>
      </c>
      <c r="F15" s="56">
        <f t="shared" si="1"/>
        <v>21.12</v>
      </c>
      <c r="G15" s="56">
        <f t="shared" si="2"/>
        <v>70.08</v>
      </c>
      <c r="H15" s="59">
        <f t="shared" si="3"/>
        <v>553.15200000000004</v>
      </c>
      <c r="I15" s="59">
        <f t="shared" si="4"/>
        <v>4877.1584000000003</v>
      </c>
      <c r="J15" s="59">
        <f t="shared" si="5"/>
        <v>8.342311145668301</v>
      </c>
      <c r="K15" s="61">
        <f t="shared" si="6"/>
        <v>1700.4672</v>
      </c>
      <c r="L15" s="61">
        <f t="shared" si="7"/>
        <v>4.9259169231978097</v>
      </c>
      <c r="M15" s="56">
        <v>56.2</v>
      </c>
      <c r="N15" s="56">
        <f t="shared" si="0"/>
        <v>8019.4063926940653</v>
      </c>
      <c r="O15" s="54"/>
    </row>
    <row r="16" spans="1:15" x14ac:dyDescent="0.25">
      <c r="A16" s="62" t="s">
        <v>477</v>
      </c>
      <c r="B16" s="54">
        <v>248</v>
      </c>
      <c r="C16" s="54">
        <v>124</v>
      </c>
      <c r="D16" s="54">
        <v>5</v>
      </c>
      <c r="E16" s="54">
        <v>8</v>
      </c>
      <c r="F16" s="56">
        <f t="shared" si="1"/>
        <v>11.6</v>
      </c>
      <c r="G16" s="56">
        <f t="shared" si="2"/>
        <v>31.44</v>
      </c>
      <c r="H16" s="59">
        <f t="shared" si="3"/>
        <v>305.36</v>
      </c>
      <c r="I16" s="59">
        <f t="shared" si="4"/>
        <v>3378.3168000000001</v>
      </c>
      <c r="J16" s="59">
        <f t="shared" si="5"/>
        <v>10.365945418893586</v>
      </c>
      <c r="K16" s="61">
        <f t="shared" si="6"/>
        <v>254.45820000000023</v>
      </c>
      <c r="L16" s="61">
        <f t="shared" si="7"/>
        <v>2.8448996816185432</v>
      </c>
      <c r="M16" s="56">
        <v>25.1</v>
      </c>
      <c r="N16" s="56">
        <f t="shared" si="0"/>
        <v>7983.4605597964382</v>
      </c>
      <c r="O16" s="54"/>
    </row>
    <row r="17" spans="1:15" x14ac:dyDescent="0.25">
      <c r="A17" s="62" t="s">
        <v>478</v>
      </c>
      <c r="B17" s="54">
        <v>250</v>
      </c>
      <c r="C17" s="54">
        <v>125</v>
      </c>
      <c r="D17" s="54">
        <v>5</v>
      </c>
      <c r="E17" s="54">
        <v>8</v>
      </c>
      <c r="F17" s="56">
        <f t="shared" si="1"/>
        <v>11.7</v>
      </c>
      <c r="G17" s="56">
        <f t="shared" si="2"/>
        <v>31.7</v>
      </c>
      <c r="H17" s="59">
        <f t="shared" si="3"/>
        <v>310.44499999999999</v>
      </c>
      <c r="I17" s="59">
        <f t="shared" si="4"/>
        <v>3463.1376666666656</v>
      </c>
      <c r="J17" s="59">
        <f t="shared" si="5"/>
        <v>10.45214069008151</v>
      </c>
      <c r="K17" s="61">
        <f t="shared" si="6"/>
        <v>260.66041666666644</v>
      </c>
      <c r="L17" s="61">
        <f t="shared" si="7"/>
        <v>2.86752961236895</v>
      </c>
      <c r="M17" s="56">
        <v>29</v>
      </c>
      <c r="N17" s="56">
        <f t="shared" si="0"/>
        <v>9148.2649842271294</v>
      </c>
      <c r="O17" s="54"/>
    </row>
    <row r="18" spans="1:15" x14ac:dyDescent="0.25">
      <c r="A18" s="62" t="s">
        <v>479</v>
      </c>
      <c r="B18" s="54">
        <v>244</v>
      </c>
      <c r="C18" s="54">
        <v>175</v>
      </c>
      <c r="D18" s="54">
        <v>7</v>
      </c>
      <c r="E18" s="54">
        <v>11</v>
      </c>
      <c r="F18" s="56">
        <f t="shared" si="1"/>
        <v>15.54</v>
      </c>
      <c r="G18" s="56">
        <f t="shared" si="2"/>
        <v>54.04</v>
      </c>
      <c r="H18" s="59">
        <f t="shared" si="3"/>
        <v>534.77200000000005</v>
      </c>
      <c r="I18" s="59">
        <f t="shared" si="4"/>
        <v>5867.4261333333316</v>
      </c>
      <c r="J18" s="59">
        <f t="shared" si="5"/>
        <v>10.419962242065919</v>
      </c>
      <c r="K18" s="61">
        <f t="shared" si="6"/>
        <v>983.18663333333279</v>
      </c>
      <c r="L18" s="61">
        <f t="shared" si="7"/>
        <v>4.2654053821724807</v>
      </c>
      <c r="M18" s="56">
        <v>43.6</v>
      </c>
      <c r="N18" s="56">
        <f t="shared" si="0"/>
        <v>8068.0977054034056</v>
      </c>
      <c r="O18" s="54"/>
    </row>
    <row r="19" spans="1:15" x14ac:dyDescent="0.25">
      <c r="A19" s="62" t="s">
        <v>480</v>
      </c>
      <c r="B19" s="54">
        <v>250</v>
      </c>
      <c r="C19" s="54">
        <v>250</v>
      </c>
      <c r="D19" s="54">
        <v>9</v>
      </c>
      <c r="E19" s="54">
        <v>14</v>
      </c>
      <c r="F19" s="56">
        <f t="shared" si="1"/>
        <v>19.98</v>
      </c>
      <c r="G19" s="56">
        <f t="shared" si="2"/>
        <v>89.98</v>
      </c>
      <c r="H19" s="59">
        <f t="shared" si="3"/>
        <v>936.88900000000001</v>
      </c>
      <c r="I19" s="59">
        <f t="shared" si="4"/>
        <v>10578.811933333331</v>
      </c>
      <c r="J19" s="59">
        <f t="shared" si="5"/>
        <v>10.84290003384509</v>
      </c>
      <c r="K19" s="61">
        <f t="shared" si="6"/>
        <v>3647.1819833333316</v>
      </c>
      <c r="L19" s="61">
        <f t="shared" si="7"/>
        <v>6.3665729909044835</v>
      </c>
      <c r="M19" s="56">
        <v>71.8</v>
      </c>
      <c r="N19" s="56">
        <f t="shared" si="0"/>
        <v>7979.5510113358514</v>
      </c>
      <c r="O19" s="54"/>
    </row>
    <row r="20" spans="1:15" x14ac:dyDescent="0.25">
      <c r="A20" s="62" t="s">
        <v>481</v>
      </c>
      <c r="B20" s="54">
        <v>250</v>
      </c>
      <c r="C20" s="54">
        <v>255</v>
      </c>
      <c r="D20" s="54">
        <v>14</v>
      </c>
      <c r="E20" s="54">
        <v>14</v>
      </c>
      <c r="F20" s="56">
        <f t="shared" si="1"/>
        <v>31.08</v>
      </c>
      <c r="G20" s="56">
        <f t="shared" si="2"/>
        <v>102.48</v>
      </c>
      <c r="H20" s="59">
        <f t="shared" si="3"/>
        <v>1015.014</v>
      </c>
      <c r="I20" s="59">
        <f t="shared" si="4"/>
        <v>11229.8536</v>
      </c>
      <c r="J20" s="59">
        <f t="shared" si="5"/>
        <v>10.46809098937092</v>
      </c>
      <c r="K20" s="61">
        <f t="shared" si="6"/>
        <v>3874.0639000000001</v>
      </c>
      <c r="L20" s="61">
        <f t="shared" si="7"/>
        <v>6.1484243172295336</v>
      </c>
      <c r="M20" s="56">
        <v>81.599999999999994</v>
      </c>
      <c r="N20" s="56">
        <f t="shared" si="0"/>
        <v>7962.5292740046825</v>
      </c>
      <c r="O20" s="54"/>
    </row>
    <row r="21" spans="1:15" x14ac:dyDescent="0.25">
      <c r="A21" s="62" t="s">
        <v>482</v>
      </c>
      <c r="B21" s="54">
        <v>298</v>
      </c>
      <c r="C21" s="54">
        <v>149</v>
      </c>
      <c r="D21" s="54">
        <v>5.5</v>
      </c>
      <c r="E21" s="54">
        <v>8</v>
      </c>
      <c r="F21" s="56">
        <f t="shared" si="1"/>
        <v>15.51</v>
      </c>
      <c r="G21" s="56">
        <f t="shared" si="2"/>
        <v>39.35</v>
      </c>
      <c r="H21" s="59">
        <f t="shared" si="3"/>
        <v>455.02550000000002</v>
      </c>
      <c r="I21" s="59">
        <f t="shared" si="4"/>
        <v>6041.4791666666661</v>
      </c>
      <c r="J21" s="59">
        <f t="shared" si="5"/>
        <v>12.390797879398173</v>
      </c>
      <c r="K21" s="61">
        <f t="shared" si="6"/>
        <v>441.45084791666568</v>
      </c>
      <c r="L21" s="61">
        <f t="shared" si="7"/>
        <v>3.3494138307050174</v>
      </c>
      <c r="M21" s="56">
        <v>32</v>
      </c>
      <c r="N21" s="56">
        <f t="shared" si="0"/>
        <v>8132.147395171537</v>
      </c>
      <c r="O21" s="54"/>
    </row>
    <row r="22" spans="1:15" x14ac:dyDescent="0.25">
      <c r="A22" s="62" t="s">
        <v>483</v>
      </c>
      <c r="B22" s="54">
        <v>300</v>
      </c>
      <c r="C22" s="54">
        <v>150</v>
      </c>
      <c r="D22" s="54">
        <v>6.5</v>
      </c>
      <c r="E22" s="54">
        <v>9</v>
      </c>
      <c r="F22" s="56">
        <f t="shared" si="1"/>
        <v>18.329999999999998</v>
      </c>
      <c r="G22" s="56">
        <f t="shared" si="2"/>
        <v>45.33</v>
      </c>
      <c r="H22" s="59">
        <f t="shared" si="3"/>
        <v>522.07650000000001</v>
      </c>
      <c r="I22" s="59">
        <f t="shared" si="4"/>
        <v>6932.5191000000032</v>
      </c>
      <c r="J22" s="59">
        <f t="shared" si="5"/>
        <v>12.366667320749945</v>
      </c>
      <c r="K22" s="61">
        <f t="shared" si="6"/>
        <v>506.89536874999999</v>
      </c>
      <c r="L22" s="61">
        <f t="shared" si="7"/>
        <v>3.3440002568550891</v>
      </c>
      <c r="M22" s="56">
        <v>36.700000000000003</v>
      </c>
      <c r="N22" s="56">
        <f t="shared" si="0"/>
        <v>8096.1835429075682</v>
      </c>
      <c r="O22" s="54"/>
    </row>
    <row r="23" spans="1:15" x14ac:dyDescent="0.25">
      <c r="A23" s="62" t="s">
        <v>484</v>
      </c>
      <c r="B23" s="54">
        <v>294</v>
      </c>
      <c r="C23" s="54">
        <v>200</v>
      </c>
      <c r="D23" s="54">
        <v>8</v>
      </c>
      <c r="E23" s="54">
        <v>12</v>
      </c>
      <c r="F23" s="56">
        <f t="shared" si="1"/>
        <v>21.6</v>
      </c>
      <c r="G23" s="56">
        <f t="shared" si="2"/>
        <v>69.599999999999994</v>
      </c>
      <c r="H23" s="59">
        <f t="shared" si="3"/>
        <v>822.6</v>
      </c>
      <c r="I23" s="59">
        <f t="shared" si="4"/>
        <v>10860.839999999995</v>
      </c>
      <c r="J23" s="59">
        <f t="shared" si="5"/>
        <v>12.491859418202635</v>
      </c>
      <c r="K23" s="61">
        <f t="shared" si="6"/>
        <v>1601.152</v>
      </c>
      <c r="L23" s="61">
        <f t="shared" si="7"/>
        <v>4.7963587721587686</v>
      </c>
      <c r="M23" s="56">
        <v>55.8</v>
      </c>
      <c r="N23" s="56">
        <f t="shared" si="0"/>
        <v>8017.2413793103451</v>
      </c>
      <c r="O23" s="54"/>
    </row>
    <row r="24" spans="1:15" x14ac:dyDescent="0.25">
      <c r="A24" s="62" t="s">
        <v>485</v>
      </c>
      <c r="B24" s="54">
        <v>294</v>
      </c>
      <c r="C24" s="54">
        <v>302</v>
      </c>
      <c r="D24" s="54">
        <v>12</v>
      </c>
      <c r="E24" s="54">
        <v>12</v>
      </c>
      <c r="F24" s="56">
        <f t="shared" si="1"/>
        <v>32.4</v>
      </c>
      <c r="G24" s="56">
        <f t="shared" si="2"/>
        <v>104.88</v>
      </c>
      <c r="H24" s="59">
        <f t="shared" si="3"/>
        <v>1240.6679999999999</v>
      </c>
      <c r="I24" s="59">
        <f t="shared" si="4"/>
        <v>16386.746399999993</v>
      </c>
      <c r="J24" s="59">
        <f t="shared" si="5"/>
        <v>12.499712582508002</v>
      </c>
      <c r="K24" s="61">
        <f t="shared" si="6"/>
        <v>5512.6095999999998</v>
      </c>
      <c r="L24" s="61">
        <f t="shared" si="7"/>
        <v>7.249904389279866</v>
      </c>
      <c r="M24" s="56">
        <v>83.5</v>
      </c>
      <c r="N24" s="56">
        <f t="shared" si="0"/>
        <v>7961.4797864225784</v>
      </c>
      <c r="O24" s="54"/>
    </row>
    <row r="25" spans="1:15" x14ac:dyDescent="0.25">
      <c r="A25" s="62" t="s">
        <v>486</v>
      </c>
      <c r="B25" s="54">
        <v>300</v>
      </c>
      <c r="C25" s="54">
        <v>300</v>
      </c>
      <c r="D25" s="54">
        <v>10</v>
      </c>
      <c r="E25" s="54">
        <v>15</v>
      </c>
      <c r="F25" s="56">
        <f>(B25-2*E25)*D25/100</f>
        <v>27</v>
      </c>
      <c r="G25" s="56">
        <f t="shared" si="2"/>
        <v>117</v>
      </c>
      <c r="H25" s="59">
        <f t="shared" si="3"/>
        <v>1464.75</v>
      </c>
      <c r="I25" s="59">
        <f t="shared" si="4"/>
        <v>19932.750000000007</v>
      </c>
      <c r="J25" s="59">
        <f t="shared" si="5"/>
        <v>13.052409149861365</v>
      </c>
      <c r="K25" s="61">
        <f t="shared" si="6"/>
        <v>6752.25</v>
      </c>
      <c r="L25" s="61">
        <f t="shared" si="7"/>
        <v>7.5968110718602491</v>
      </c>
      <c r="M25" s="56">
        <v>93</v>
      </c>
      <c r="N25" s="56">
        <f t="shared" si="0"/>
        <v>7948.7179487179483</v>
      </c>
      <c r="O25" s="54"/>
    </row>
    <row r="26" spans="1:15" x14ac:dyDescent="0.25">
      <c r="A26" s="62" t="s">
        <v>487</v>
      </c>
      <c r="B26" s="54">
        <v>300</v>
      </c>
      <c r="C26" s="54">
        <v>305</v>
      </c>
      <c r="D26" s="54">
        <v>15</v>
      </c>
      <c r="E26" s="54">
        <v>15</v>
      </c>
      <c r="F26" s="56">
        <f t="shared" si="1"/>
        <v>40.5</v>
      </c>
      <c r="G26" s="56">
        <f t="shared" si="2"/>
        <v>132</v>
      </c>
      <c r="H26" s="59">
        <f t="shared" si="3"/>
        <v>1577.25</v>
      </c>
      <c r="I26" s="59">
        <f t="shared" si="4"/>
        <v>21057.749999999993</v>
      </c>
      <c r="J26" s="59">
        <f t="shared" si="5"/>
        <v>12.630455616916954</v>
      </c>
      <c r="K26" s="61">
        <f t="shared" si="6"/>
        <v>7100.75</v>
      </c>
      <c r="L26" s="61">
        <f t="shared" si="7"/>
        <v>7.3344093563190631</v>
      </c>
      <c r="M26" s="56">
        <v>105</v>
      </c>
      <c r="N26" s="56">
        <f t="shared" si="0"/>
        <v>7954.545454545454</v>
      </c>
      <c r="O26" s="54"/>
    </row>
    <row r="27" spans="1:15" x14ac:dyDescent="0.25">
      <c r="A27" s="62" t="s">
        <v>488</v>
      </c>
      <c r="B27" s="54">
        <v>304</v>
      </c>
      <c r="C27" s="54">
        <v>301</v>
      </c>
      <c r="D27" s="54">
        <v>11</v>
      </c>
      <c r="E27" s="54">
        <v>17</v>
      </c>
      <c r="F27" s="56">
        <f t="shared" si="1"/>
        <v>29.7</v>
      </c>
      <c r="G27" s="56">
        <f t="shared" si="2"/>
        <v>132.04</v>
      </c>
      <c r="H27" s="59">
        <f t="shared" si="3"/>
        <v>1669.0540000000001</v>
      </c>
      <c r="I27" s="59">
        <f t="shared" si="4"/>
        <v>22903.030533333331</v>
      </c>
      <c r="J27" s="59">
        <f t="shared" si="5"/>
        <v>13.170240881445196</v>
      </c>
      <c r="K27" s="61">
        <f t="shared" si="6"/>
        <v>7729.7500333333255</v>
      </c>
      <c r="L27" s="61">
        <f t="shared" si="7"/>
        <v>7.6512072697741553</v>
      </c>
      <c r="M27" s="56">
        <v>105</v>
      </c>
      <c r="N27" s="56">
        <f t="shared" si="0"/>
        <v>7952.1357164495612</v>
      </c>
      <c r="O27" s="54"/>
    </row>
    <row r="28" spans="1:15" x14ac:dyDescent="0.25">
      <c r="A28" s="62" t="s">
        <v>489</v>
      </c>
      <c r="B28" s="54">
        <v>312</v>
      </c>
      <c r="C28" s="54">
        <v>303</v>
      </c>
      <c r="D28" s="54">
        <v>13</v>
      </c>
      <c r="E28" s="54">
        <v>21</v>
      </c>
      <c r="F28" s="56">
        <f t="shared" si="1"/>
        <v>35.1</v>
      </c>
      <c r="G28" s="56">
        <f t="shared" si="2"/>
        <v>162.36000000000001</v>
      </c>
      <c r="H28" s="59">
        <f t="shared" si="3"/>
        <v>2088.558</v>
      </c>
      <c r="I28" s="59">
        <f t="shared" si="4"/>
        <v>29120.353200000005</v>
      </c>
      <c r="J28" s="59">
        <f t="shared" si="5"/>
        <v>13.392411889969583</v>
      </c>
      <c r="K28" s="61">
        <f t="shared" si="6"/>
        <v>9741.2877000000008</v>
      </c>
      <c r="L28" s="61">
        <f t="shared" si="7"/>
        <v>7.7458425298139169</v>
      </c>
      <c r="M28" s="56">
        <v>129</v>
      </c>
      <c r="N28" s="56">
        <f t="shared" si="0"/>
        <v>7945.3067257945295</v>
      </c>
      <c r="O28" s="54"/>
    </row>
    <row r="29" spans="1:15" x14ac:dyDescent="0.25">
      <c r="A29" s="62" t="s">
        <v>490</v>
      </c>
      <c r="B29" s="54">
        <v>318</v>
      </c>
      <c r="C29" s="54">
        <v>307</v>
      </c>
      <c r="D29" s="54">
        <v>17</v>
      </c>
      <c r="E29" s="54">
        <v>24</v>
      </c>
      <c r="F29" s="56">
        <f t="shared" si="1"/>
        <v>45.9</v>
      </c>
      <c r="G29" s="56">
        <f t="shared" si="2"/>
        <v>193.26</v>
      </c>
      <c r="H29" s="59">
        <f t="shared" si="3"/>
        <v>2476.0169999999998</v>
      </c>
      <c r="I29" s="59">
        <f t="shared" si="4"/>
        <v>34702.180200000003</v>
      </c>
      <c r="J29" s="59">
        <f t="shared" si="5"/>
        <v>13.400080048137466</v>
      </c>
      <c r="K29" s="61">
        <f t="shared" si="6"/>
        <v>11584.831449999989</v>
      </c>
      <c r="L29" s="61">
        <f t="shared" si="7"/>
        <v>7.7423691121047726</v>
      </c>
      <c r="M29" s="56">
        <v>153</v>
      </c>
      <c r="N29" s="56">
        <f t="shared" si="0"/>
        <v>7916.7960260788586</v>
      </c>
      <c r="O29" s="54"/>
    </row>
    <row r="30" spans="1:15" x14ac:dyDescent="0.25">
      <c r="A30" s="62" t="s">
        <v>491</v>
      </c>
      <c r="B30" s="54">
        <v>326</v>
      </c>
      <c r="C30" s="54">
        <v>310</v>
      </c>
      <c r="D30" s="54">
        <v>20</v>
      </c>
      <c r="E30" s="54">
        <v>28</v>
      </c>
      <c r="F30" s="56">
        <f t="shared" si="1"/>
        <v>54</v>
      </c>
      <c r="G30" s="56">
        <f t="shared" si="2"/>
        <v>227.6</v>
      </c>
      <c r="H30" s="59">
        <f t="shared" si="3"/>
        <v>2951.14</v>
      </c>
      <c r="I30" s="59">
        <f t="shared" si="4"/>
        <v>41934.854666666666</v>
      </c>
      <c r="J30" s="59">
        <f t="shared" si="5"/>
        <v>13.573799886211232</v>
      </c>
      <c r="K30" s="61">
        <f t="shared" si="6"/>
        <v>13920.466666666651</v>
      </c>
      <c r="L30" s="61">
        <f t="shared" si="7"/>
        <v>7.8206125132252371</v>
      </c>
      <c r="M30" s="56">
        <v>180</v>
      </c>
      <c r="N30" s="56">
        <f t="shared" si="0"/>
        <v>7908.6115992970126</v>
      </c>
      <c r="O30" s="54"/>
    </row>
    <row r="31" spans="1:15" x14ac:dyDescent="0.25">
      <c r="A31" s="62" t="s">
        <v>492</v>
      </c>
      <c r="B31" s="54">
        <v>346</v>
      </c>
      <c r="C31" s="54">
        <v>174</v>
      </c>
      <c r="D31" s="54">
        <v>6</v>
      </c>
      <c r="E31" s="54">
        <v>9</v>
      </c>
      <c r="F31" s="56">
        <f t="shared" si="1"/>
        <v>19.68</v>
      </c>
      <c r="G31" s="56">
        <f t="shared" si="2"/>
        <v>51</v>
      </c>
      <c r="H31" s="59">
        <f t="shared" si="3"/>
        <v>689.11800000000005</v>
      </c>
      <c r="I31" s="59">
        <f t="shared" si="4"/>
        <v>10658.9444</v>
      </c>
      <c r="J31" s="59">
        <f t="shared" si="5"/>
        <v>14.456794589531995</v>
      </c>
      <c r="K31" s="61">
        <f t="shared" si="6"/>
        <v>790.79399999999998</v>
      </c>
      <c r="L31" s="61">
        <f t="shared" si="7"/>
        <v>3.9377359873260107</v>
      </c>
      <c r="M31" s="56">
        <v>41.2</v>
      </c>
      <c r="N31" s="56">
        <f t="shared" si="0"/>
        <v>8078.4313725490201</v>
      </c>
      <c r="O31" s="54"/>
    </row>
    <row r="32" spans="1:15" x14ac:dyDescent="0.25">
      <c r="A32" s="62" t="s">
        <v>493</v>
      </c>
      <c r="B32" s="54">
        <v>350</v>
      </c>
      <c r="C32" s="54">
        <v>175</v>
      </c>
      <c r="D32" s="54">
        <v>7</v>
      </c>
      <c r="E32" s="54">
        <v>11</v>
      </c>
      <c r="F32" s="56">
        <f t="shared" si="1"/>
        <v>22.96</v>
      </c>
      <c r="G32" s="56">
        <f t="shared" si="2"/>
        <v>61.46</v>
      </c>
      <c r="H32" s="59">
        <f t="shared" si="3"/>
        <v>840.84699999999998</v>
      </c>
      <c r="I32" s="59">
        <f t="shared" si="4"/>
        <v>13123.468866666663</v>
      </c>
      <c r="J32" s="59">
        <f t="shared" si="5"/>
        <v>14.612618453630214</v>
      </c>
      <c r="K32" s="61">
        <f t="shared" si="6"/>
        <v>983.48961666666776</v>
      </c>
      <c r="L32" s="61">
        <f t="shared" si="7"/>
        <v>4.000263611283267</v>
      </c>
      <c r="M32" s="56">
        <v>49.4</v>
      </c>
      <c r="N32" s="56">
        <f t="shared" si="0"/>
        <v>8037.7481288643012</v>
      </c>
      <c r="O32" s="54"/>
    </row>
    <row r="33" spans="1:15" x14ac:dyDescent="0.25">
      <c r="A33" s="62" t="s">
        <v>494</v>
      </c>
      <c r="B33" s="54">
        <v>336</v>
      </c>
      <c r="C33" s="54">
        <v>249</v>
      </c>
      <c r="D33" s="54">
        <v>8</v>
      </c>
      <c r="E33" s="54">
        <v>12</v>
      </c>
      <c r="F33" s="56">
        <f t="shared" si="1"/>
        <v>24.96</v>
      </c>
      <c r="G33" s="56">
        <f t="shared" si="2"/>
        <v>84.72</v>
      </c>
      <c r="H33" s="59">
        <f t="shared" si="3"/>
        <v>1162.8</v>
      </c>
      <c r="I33" s="59">
        <f t="shared" si="4"/>
        <v>17715.340800000002</v>
      </c>
      <c r="J33" s="59">
        <f t="shared" si="5"/>
        <v>14.460449136701373</v>
      </c>
      <c r="K33" s="61">
        <f t="shared" si="6"/>
        <v>3088.9810000000002</v>
      </c>
      <c r="L33" s="61">
        <f t="shared" si="7"/>
        <v>6.0382994263474972</v>
      </c>
      <c r="M33" s="56">
        <v>67.599999999999994</v>
      </c>
      <c r="N33" s="56">
        <f t="shared" si="0"/>
        <v>7979.22568460812</v>
      </c>
      <c r="O33" s="54"/>
    </row>
    <row r="34" spans="1:15" x14ac:dyDescent="0.25">
      <c r="A34" s="62" t="s">
        <v>495</v>
      </c>
      <c r="B34" s="54">
        <v>340</v>
      </c>
      <c r="C34" s="54">
        <v>250</v>
      </c>
      <c r="D34" s="54">
        <v>9</v>
      </c>
      <c r="E34" s="54">
        <v>14</v>
      </c>
      <c r="F34" s="56">
        <f t="shared" si="1"/>
        <v>28.08</v>
      </c>
      <c r="G34" s="56">
        <f t="shared" si="2"/>
        <v>98.08</v>
      </c>
      <c r="H34" s="59">
        <f t="shared" si="3"/>
        <v>1360.0239999999999</v>
      </c>
      <c r="I34" s="59">
        <f t="shared" si="4"/>
        <v>20887.582933333324</v>
      </c>
      <c r="J34" s="59">
        <f t="shared" si="5"/>
        <v>14.593311912753917</v>
      </c>
      <c r="K34" s="61">
        <f t="shared" si="6"/>
        <v>3647.7287333333315</v>
      </c>
      <c r="L34" s="61">
        <f t="shared" si="7"/>
        <v>6.0984720605760714</v>
      </c>
      <c r="M34" s="56">
        <v>78.099999999999994</v>
      </c>
      <c r="N34" s="56">
        <f t="shared" ref="N34:N65" si="8">M34/G34*10000</f>
        <v>7962.887438825448</v>
      </c>
      <c r="O34" s="54"/>
    </row>
    <row r="35" spans="1:15" x14ac:dyDescent="0.25">
      <c r="A35" s="62" t="s">
        <v>496</v>
      </c>
      <c r="B35" s="54">
        <v>350</v>
      </c>
      <c r="C35" s="54">
        <v>252</v>
      </c>
      <c r="D35" s="54">
        <v>11</v>
      </c>
      <c r="E35" s="54">
        <v>19</v>
      </c>
      <c r="F35" s="56">
        <f t="shared" si="1"/>
        <v>34.32</v>
      </c>
      <c r="G35" s="56">
        <f t="shared" si="2"/>
        <v>130.08000000000001</v>
      </c>
      <c r="H35" s="59">
        <f t="shared" si="3"/>
        <v>1852.5239999999999</v>
      </c>
      <c r="I35" s="59">
        <f t="shared" si="4"/>
        <v>29041.749599999999</v>
      </c>
      <c r="J35" s="59">
        <f t="shared" si="5"/>
        <v>14.94191027468799</v>
      </c>
      <c r="K35" s="61">
        <f t="shared" si="6"/>
        <v>5071.0798000000004</v>
      </c>
      <c r="L35" s="61">
        <f t="shared" si="7"/>
        <v>6.2437421315792712</v>
      </c>
      <c r="M35" s="56">
        <v>103</v>
      </c>
      <c r="N35" s="56">
        <f t="shared" si="8"/>
        <v>7918.204182041819</v>
      </c>
      <c r="O35" s="54"/>
    </row>
    <row r="36" spans="1:15" x14ac:dyDescent="0.25">
      <c r="A36" s="62" t="s">
        <v>497</v>
      </c>
      <c r="B36" s="54">
        <v>356</v>
      </c>
      <c r="C36" s="54">
        <v>256</v>
      </c>
      <c r="D36" s="54">
        <v>15</v>
      </c>
      <c r="E36" s="54">
        <v>22</v>
      </c>
      <c r="F36" s="56">
        <f t="shared" si="1"/>
        <v>46.8</v>
      </c>
      <c r="G36" s="56">
        <f t="shared" si="2"/>
        <v>159.44</v>
      </c>
      <c r="H36" s="59">
        <f t="shared" si="3"/>
        <v>2246.1280000000002</v>
      </c>
      <c r="I36" s="59">
        <f t="shared" si="4"/>
        <v>35256.01706666666</v>
      </c>
      <c r="J36" s="59">
        <f t="shared" si="5"/>
        <v>14.870240105980129</v>
      </c>
      <c r="K36" s="61">
        <f t="shared" si="6"/>
        <v>6160.4208666666627</v>
      </c>
      <c r="L36" s="61">
        <f t="shared" si="7"/>
        <v>6.2159362075994595</v>
      </c>
      <c r="M36" s="56">
        <v>126</v>
      </c>
      <c r="N36" s="56">
        <f t="shared" si="8"/>
        <v>7902.6593075765186</v>
      </c>
      <c r="O36" s="54"/>
    </row>
    <row r="37" spans="1:15" x14ac:dyDescent="0.25">
      <c r="A37" s="62" t="s">
        <v>498</v>
      </c>
      <c r="B37" s="54">
        <v>364</v>
      </c>
      <c r="C37" s="54">
        <v>258</v>
      </c>
      <c r="D37" s="54">
        <v>17</v>
      </c>
      <c r="E37" s="54">
        <v>26</v>
      </c>
      <c r="F37" s="56">
        <f t="shared" si="1"/>
        <v>53.04</v>
      </c>
      <c r="G37" s="56">
        <f t="shared" si="2"/>
        <v>187.2</v>
      </c>
      <c r="H37" s="59">
        <f t="shared" si="3"/>
        <v>2681.0160000000001</v>
      </c>
      <c r="I37" s="59">
        <f t="shared" si="4"/>
        <v>42695.619200000001</v>
      </c>
      <c r="J37" s="59">
        <f t="shared" si="5"/>
        <v>15.102148485857532</v>
      </c>
      <c r="K37" s="61">
        <f t="shared" si="6"/>
        <v>7454.6289999999999</v>
      </c>
      <c r="L37" s="61">
        <f t="shared" si="7"/>
        <v>6.3104465857109604</v>
      </c>
      <c r="M37" s="56">
        <v>148</v>
      </c>
      <c r="N37" s="56">
        <f t="shared" si="8"/>
        <v>7905.9829059829071</v>
      </c>
      <c r="O37" s="54"/>
    </row>
    <row r="38" spans="1:15" x14ac:dyDescent="0.25">
      <c r="A38" s="62" t="s">
        <v>499</v>
      </c>
      <c r="B38" s="54">
        <v>338</v>
      </c>
      <c r="C38" s="54">
        <v>351</v>
      </c>
      <c r="D38" s="54">
        <v>13</v>
      </c>
      <c r="E38" s="54">
        <v>13</v>
      </c>
      <c r="F38" s="56">
        <f t="shared" si="1"/>
        <v>40.56</v>
      </c>
      <c r="G38" s="56">
        <f t="shared" si="2"/>
        <v>131.82</v>
      </c>
      <c r="H38" s="59">
        <f t="shared" si="3"/>
        <v>1799.3430000000001</v>
      </c>
      <c r="I38" s="59">
        <f t="shared" si="4"/>
        <v>27401.423400000011</v>
      </c>
      <c r="J38" s="59">
        <f t="shared" si="5"/>
        <v>14.417697458332245</v>
      </c>
      <c r="K38" s="61">
        <f t="shared" si="6"/>
        <v>9375.1482500000002</v>
      </c>
      <c r="L38" s="61">
        <f t="shared" si="7"/>
        <v>8.4333168642790444</v>
      </c>
      <c r="M38" s="56">
        <v>105</v>
      </c>
      <c r="N38" s="56">
        <f t="shared" si="8"/>
        <v>7965.4073736913979</v>
      </c>
      <c r="O38" s="54"/>
    </row>
    <row r="39" spans="1:15" x14ac:dyDescent="0.25">
      <c r="A39" s="62" t="s">
        <v>500</v>
      </c>
      <c r="B39" s="54">
        <v>344</v>
      </c>
      <c r="C39" s="54">
        <v>348</v>
      </c>
      <c r="D39" s="54">
        <v>10</v>
      </c>
      <c r="E39" s="54">
        <v>16</v>
      </c>
      <c r="F39" s="56">
        <f t="shared" si="1"/>
        <v>31.2</v>
      </c>
      <c r="G39" s="56">
        <f t="shared" si="2"/>
        <v>142.56</v>
      </c>
      <c r="H39" s="59">
        <f t="shared" si="3"/>
        <v>2069.6640000000002</v>
      </c>
      <c r="I39" s="59">
        <f t="shared" si="4"/>
        <v>32506.086400000011</v>
      </c>
      <c r="J39" s="59">
        <f t="shared" si="5"/>
        <v>15.100227809878012</v>
      </c>
      <c r="K39" s="61">
        <f t="shared" si="6"/>
        <v>11241.0512</v>
      </c>
      <c r="L39" s="61">
        <f t="shared" si="7"/>
        <v>8.8798293479118122</v>
      </c>
      <c r="M39" s="56">
        <v>113</v>
      </c>
      <c r="N39" s="56">
        <f t="shared" si="8"/>
        <v>7926.4870931537598</v>
      </c>
      <c r="O39" s="54"/>
    </row>
    <row r="40" spans="1:15" x14ac:dyDescent="0.25">
      <c r="A40" s="62" t="s">
        <v>501</v>
      </c>
      <c r="B40" s="54">
        <v>344</v>
      </c>
      <c r="C40" s="54">
        <v>354</v>
      </c>
      <c r="D40" s="54">
        <v>16</v>
      </c>
      <c r="E40" s="54">
        <v>16</v>
      </c>
      <c r="F40" s="56">
        <f t="shared" si="1"/>
        <v>49.92</v>
      </c>
      <c r="G40" s="56">
        <f t="shared" si="2"/>
        <v>163.19999999999999</v>
      </c>
      <c r="H40" s="59">
        <f t="shared" si="3"/>
        <v>2247.1680000000001</v>
      </c>
      <c r="I40" s="59">
        <f t="shared" si="4"/>
        <v>34541.46560000001</v>
      </c>
      <c r="J40" s="59">
        <f t="shared" si="5"/>
        <v>14.548234850142544</v>
      </c>
      <c r="K40" s="61">
        <f t="shared" si="6"/>
        <v>11840.48</v>
      </c>
      <c r="L40" s="61">
        <f t="shared" si="7"/>
        <v>8.5177438787694086</v>
      </c>
      <c r="M40" s="56">
        <v>129</v>
      </c>
      <c r="N40" s="56">
        <f t="shared" si="8"/>
        <v>7904.4117647058829</v>
      </c>
      <c r="O40" s="54"/>
    </row>
    <row r="41" spans="1:15" x14ac:dyDescent="0.25">
      <c r="A41" s="62" t="s">
        <v>502</v>
      </c>
      <c r="B41" s="54">
        <v>350</v>
      </c>
      <c r="C41" s="54">
        <v>350</v>
      </c>
      <c r="D41" s="54">
        <v>12</v>
      </c>
      <c r="E41" s="54">
        <v>19</v>
      </c>
      <c r="F41" s="56">
        <f t="shared" si="1"/>
        <v>37.44</v>
      </c>
      <c r="G41" s="56">
        <f t="shared" si="2"/>
        <v>170.44</v>
      </c>
      <c r="H41" s="59">
        <f t="shared" si="3"/>
        <v>2493.1819999999998</v>
      </c>
      <c r="I41" s="59">
        <f t="shared" si="4"/>
        <v>39506.176133333334</v>
      </c>
      <c r="J41" s="59">
        <f t="shared" si="5"/>
        <v>15.224629585195654</v>
      </c>
      <c r="K41" s="61">
        <f t="shared" si="6"/>
        <v>13581.576133333325</v>
      </c>
      <c r="L41" s="61">
        <f t="shared" si="7"/>
        <v>8.9266667800080093</v>
      </c>
      <c r="M41" s="56">
        <v>135</v>
      </c>
      <c r="N41" s="56">
        <f t="shared" si="8"/>
        <v>7920.6758976766023</v>
      </c>
      <c r="O41" s="54"/>
    </row>
    <row r="42" spans="1:15" x14ac:dyDescent="0.25">
      <c r="A42" s="62" t="s">
        <v>503</v>
      </c>
      <c r="B42" s="54">
        <v>350</v>
      </c>
      <c r="C42" s="54">
        <v>357</v>
      </c>
      <c r="D42" s="54">
        <v>19</v>
      </c>
      <c r="E42" s="54">
        <v>19</v>
      </c>
      <c r="F42" s="56">
        <f t="shared" si="1"/>
        <v>59.28</v>
      </c>
      <c r="G42" s="56">
        <f t="shared" si="2"/>
        <v>194.94</v>
      </c>
      <c r="H42" s="59">
        <f t="shared" si="3"/>
        <v>2707.5569999999998</v>
      </c>
      <c r="I42" s="59">
        <f t="shared" si="4"/>
        <v>42007.217800000013</v>
      </c>
      <c r="J42" s="59">
        <f t="shared" si="5"/>
        <v>14.679507271131309</v>
      </c>
      <c r="K42" s="61">
        <f t="shared" si="6"/>
        <v>14425.942849999999</v>
      </c>
      <c r="L42" s="61">
        <f t="shared" si="7"/>
        <v>8.6024394178408379</v>
      </c>
      <c r="M42" s="56">
        <v>154</v>
      </c>
      <c r="N42" s="56">
        <f t="shared" si="8"/>
        <v>7899.8666256283987</v>
      </c>
      <c r="O42" s="54"/>
    </row>
    <row r="43" spans="1:15" x14ac:dyDescent="0.25">
      <c r="A43" s="62" t="s">
        <v>504</v>
      </c>
      <c r="B43" s="54">
        <v>360</v>
      </c>
      <c r="C43" s="54">
        <v>354</v>
      </c>
      <c r="D43" s="54">
        <v>16</v>
      </c>
      <c r="E43" s="54">
        <v>24</v>
      </c>
      <c r="F43" s="56">
        <f t="shared" si="1"/>
        <v>49.92</v>
      </c>
      <c r="G43" s="56">
        <f t="shared" si="2"/>
        <v>219.84</v>
      </c>
      <c r="H43" s="59">
        <f t="shared" si="3"/>
        <v>3244.0320000000002</v>
      </c>
      <c r="I43" s="59">
        <f t="shared" si="4"/>
        <v>52089.29280000001</v>
      </c>
      <c r="J43" s="59">
        <f t="shared" si="5"/>
        <v>15.392915060544427</v>
      </c>
      <c r="K43" s="61">
        <f t="shared" si="6"/>
        <v>17755.395199999999</v>
      </c>
      <c r="L43" s="61">
        <f t="shared" si="7"/>
        <v>8.9869394155198439</v>
      </c>
      <c r="M43" s="56">
        <v>174</v>
      </c>
      <c r="N43" s="56">
        <f t="shared" si="8"/>
        <v>7914.8471615720528</v>
      </c>
      <c r="O43" s="54"/>
    </row>
    <row r="44" spans="1:15" x14ac:dyDescent="0.25">
      <c r="A44" s="62" t="s">
        <v>505</v>
      </c>
      <c r="B44" s="54">
        <v>368</v>
      </c>
      <c r="C44" s="54">
        <v>356</v>
      </c>
      <c r="D44" s="54">
        <v>18</v>
      </c>
      <c r="E44" s="54">
        <v>28</v>
      </c>
      <c r="F44" s="56">
        <f t="shared" si="1"/>
        <v>56.16</v>
      </c>
      <c r="G44" s="56">
        <f t="shared" si="2"/>
        <v>255.52</v>
      </c>
      <c r="H44" s="59">
        <f t="shared" si="3"/>
        <v>3827.1680000000001</v>
      </c>
      <c r="I44" s="59">
        <f t="shared" si="4"/>
        <v>62300.987733333335</v>
      </c>
      <c r="J44" s="59">
        <f t="shared" si="5"/>
        <v>15.614749328020448</v>
      </c>
      <c r="K44" s="61">
        <f t="shared" si="6"/>
        <v>21070.237333333327</v>
      </c>
      <c r="L44" s="61">
        <f t="shared" si="7"/>
        <v>9.0807613948343775</v>
      </c>
      <c r="M44" s="56">
        <v>202</v>
      </c>
      <c r="N44" s="56">
        <f t="shared" si="8"/>
        <v>7905.4477144646207</v>
      </c>
      <c r="O44" s="54"/>
    </row>
    <row r="45" spans="1:15" x14ac:dyDescent="0.25">
      <c r="A45" s="62" t="s">
        <v>506</v>
      </c>
      <c r="B45" s="54">
        <v>378</v>
      </c>
      <c r="C45" s="54">
        <v>358</v>
      </c>
      <c r="D45" s="54">
        <v>20</v>
      </c>
      <c r="E45" s="54">
        <v>33</v>
      </c>
      <c r="F45" s="56">
        <f t="shared" si="1"/>
        <v>62.4</v>
      </c>
      <c r="G45" s="56">
        <f t="shared" si="2"/>
        <v>298.68</v>
      </c>
      <c r="H45" s="59">
        <f t="shared" si="3"/>
        <v>4562.55</v>
      </c>
      <c r="I45" s="59">
        <f t="shared" si="4"/>
        <v>75584.379600000015</v>
      </c>
      <c r="J45" s="59">
        <f t="shared" si="5"/>
        <v>15.907903764152776</v>
      </c>
      <c r="K45" s="61">
        <f t="shared" si="6"/>
        <v>25256.2916</v>
      </c>
      <c r="L45" s="61">
        <f t="shared" si="7"/>
        <v>9.1956349075318435</v>
      </c>
      <c r="M45" s="56">
        <v>236</v>
      </c>
      <c r="N45" s="56">
        <f t="shared" si="8"/>
        <v>7901.4329717423325</v>
      </c>
      <c r="O45" s="54"/>
    </row>
    <row r="46" spans="1:15" x14ac:dyDescent="0.25">
      <c r="A46" s="62" t="s">
        <v>507</v>
      </c>
      <c r="B46" s="54">
        <v>396</v>
      </c>
      <c r="C46" s="54">
        <v>199</v>
      </c>
      <c r="D46" s="54">
        <v>7</v>
      </c>
      <c r="E46" s="54">
        <v>11</v>
      </c>
      <c r="F46" s="56">
        <f t="shared" si="1"/>
        <v>26.18</v>
      </c>
      <c r="G46" s="56">
        <f t="shared" si="2"/>
        <v>69.959999999999994</v>
      </c>
      <c r="H46" s="59">
        <f t="shared" si="3"/>
        <v>1087.548</v>
      </c>
      <c r="I46" s="59">
        <f t="shared" si="4"/>
        <v>19279.268799999987</v>
      </c>
      <c r="J46" s="59">
        <f t="shared" si="5"/>
        <v>16.6004697970954</v>
      </c>
      <c r="K46" s="61">
        <f t="shared" si="6"/>
        <v>1445.8454999999979</v>
      </c>
      <c r="L46" s="61">
        <f t="shared" si="7"/>
        <v>4.5460692122996589</v>
      </c>
      <c r="M46" s="56">
        <v>56.1</v>
      </c>
      <c r="N46" s="56">
        <f t="shared" si="8"/>
        <v>8018.867924528302</v>
      </c>
      <c r="O46" s="54"/>
    </row>
    <row r="47" spans="1:15" x14ac:dyDescent="0.25">
      <c r="A47" s="62" t="s">
        <v>508</v>
      </c>
      <c r="B47" s="54">
        <v>400</v>
      </c>
      <c r="C47" s="54">
        <v>200</v>
      </c>
      <c r="D47" s="54">
        <v>8</v>
      </c>
      <c r="E47" s="54">
        <v>13</v>
      </c>
      <c r="F47" s="56">
        <f t="shared" si="1"/>
        <v>29.92</v>
      </c>
      <c r="G47" s="56">
        <f t="shared" si="2"/>
        <v>81.92</v>
      </c>
      <c r="H47" s="59">
        <f t="shared" si="3"/>
        <v>1285.952</v>
      </c>
      <c r="I47" s="59">
        <f t="shared" si="4"/>
        <v>22964.86826666665</v>
      </c>
      <c r="J47" s="59">
        <f t="shared" si="5"/>
        <v>16.743143808237839</v>
      </c>
      <c r="K47" s="61">
        <f t="shared" si="6"/>
        <v>1734.9290666666675</v>
      </c>
      <c r="L47" s="61">
        <f t="shared" si="7"/>
        <v>4.6019923221723591</v>
      </c>
      <c r="M47" s="56">
        <v>65.400000000000006</v>
      </c>
      <c r="N47" s="56">
        <f t="shared" si="8"/>
        <v>7983.3984375</v>
      </c>
      <c r="O47" s="54"/>
    </row>
    <row r="48" spans="1:15" x14ac:dyDescent="0.25">
      <c r="A48" s="62" t="s">
        <v>509</v>
      </c>
      <c r="B48" s="54">
        <v>386</v>
      </c>
      <c r="C48" s="54">
        <v>299</v>
      </c>
      <c r="D48" s="54">
        <v>9</v>
      </c>
      <c r="E48" s="54">
        <v>14</v>
      </c>
      <c r="F48" s="56">
        <f t="shared" si="1"/>
        <v>32.22</v>
      </c>
      <c r="G48" s="56">
        <f t="shared" si="2"/>
        <v>115.94</v>
      </c>
      <c r="H48" s="59">
        <f t="shared" si="3"/>
        <v>1845.5609999999999</v>
      </c>
      <c r="I48" s="59">
        <f t="shared" si="4"/>
        <v>32418.648866666674</v>
      </c>
      <c r="J48" s="59">
        <f t="shared" si="5"/>
        <v>16.721714617539845</v>
      </c>
      <c r="K48" s="61">
        <f t="shared" si="6"/>
        <v>6239.3846166666626</v>
      </c>
      <c r="L48" s="61">
        <f t="shared" si="7"/>
        <v>7.3359139916132188</v>
      </c>
      <c r="M48" s="56">
        <v>92.2</v>
      </c>
      <c r="N48" s="56">
        <f t="shared" si="8"/>
        <v>7952.3891668104197</v>
      </c>
      <c r="O48" s="54"/>
    </row>
    <row r="49" spans="1:15" x14ac:dyDescent="0.25">
      <c r="A49" s="62" t="s">
        <v>510</v>
      </c>
      <c r="B49" s="54">
        <v>390</v>
      </c>
      <c r="C49" s="54">
        <v>300</v>
      </c>
      <c r="D49" s="54">
        <v>10</v>
      </c>
      <c r="E49" s="54">
        <v>16</v>
      </c>
      <c r="F49" s="56">
        <f t="shared" si="1"/>
        <v>35.799999999999997</v>
      </c>
      <c r="G49" s="56">
        <f t="shared" si="2"/>
        <v>131.80000000000001</v>
      </c>
      <c r="H49" s="59">
        <f t="shared" si="3"/>
        <v>2115.61</v>
      </c>
      <c r="I49" s="59">
        <f t="shared" si="4"/>
        <v>37414.279333333347</v>
      </c>
      <c r="J49" s="59">
        <f t="shared" si="5"/>
        <v>16.848490098939482</v>
      </c>
      <c r="K49" s="61">
        <f t="shared" si="6"/>
        <v>7202.9833333333327</v>
      </c>
      <c r="L49" s="61">
        <f t="shared" si="7"/>
        <v>7.3926219901142165</v>
      </c>
      <c r="M49" s="56">
        <v>105</v>
      </c>
      <c r="N49" s="56">
        <f t="shared" si="8"/>
        <v>7966.6160849772368</v>
      </c>
      <c r="O49" s="54"/>
    </row>
    <row r="50" spans="1:15" x14ac:dyDescent="0.25">
      <c r="A50" s="62" t="s">
        <v>511</v>
      </c>
      <c r="B50" s="54">
        <v>400</v>
      </c>
      <c r="C50" s="54">
        <v>304</v>
      </c>
      <c r="D50" s="54">
        <v>14</v>
      </c>
      <c r="E50" s="54">
        <v>21</v>
      </c>
      <c r="F50" s="56">
        <f t="shared" si="1"/>
        <v>50.12</v>
      </c>
      <c r="G50" s="56">
        <f t="shared" si="2"/>
        <v>177.8</v>
      </c>
      <c r="H50" s="59">
        <f t="shared" si="3"/>
        <v>2868.11</v>
      </c>
      <c r="I50" s="59">
        <f t="shared" si="4"/>
        <v>51250.112666666675</v>
      </c>
      <c r="J50" s="59">
        <f t="shared" si="5"/>
        <v>16.97780471728818</v>
      </c>
      <c r="K50" s="61">
        <f t="shared" si="6"/>
        <v>9841.2486666666664</v>
      </c>
      <c r="L50" s="61">
        <f t="shared" si="7"/>
        <v>7.4397651163781129</v>
      </c>
      <c r="M50" s="56">
        <v>141</v>
      </c>
      <c r="N50" s="56">
        <f t="shared" si="8"/>
        <v>7930.2587176602919</v>
      </c>
      <c r="O50" s="54"/>
    </row>
    <row r="51" spans="1:15" x14ac:dyDescent="0.25">
      <c r="A51" s="62" t="s">
        <v>512</v>
      </c>
      <c r="B51" s="54">
        <v>410</v>
      </c>
      <c r="C51" s="54">
        <v>308</v>
      </c>
      <c r="D51" s="54">
        <v>18</v>
      </c>
      <c r="E51" s="54">
        <v>26</v>
      </c>
      <c r="F51" s="56">
        <f t="shared" si="1"/>
        <v>64.44</v>
      </c>
      <c r="G51" s="56">
        <f t="shared" si="2"/>
        <v>224.6</v>
      </c>
      <c r="H51" s="59">
        <f t="shared" si="3"/>
        <v>3651.81</v>
      </c>
      <c r="I51" s="59">
        <f t="shared" si="4"/>
        <v>66014.012666666677</v>
      </c>
      <c r="J51" s="59">
        <f t="shared" si="5"/>
        <v>17.14404074240214</v>
      </c>
      <c r="K51" s="61">
        <f t="shared" si="6"/>
        <v>12678.580666666663</v>
      </c>
      <c r="L51" s="61">
        <f t="shared" si="7"/>
        <v>7.5132950331969699</v>
      </c>
      <c r="M51" s="56">
        <v>177</v>
      </c>
      <c r="N51" s="56">
        <f t="shared" si="8"/>
        <v>7880.6767586821015</v>
      </c>
      <c r="O51" s="54"/>
    </row>
    <row r="52" spans="1:15" x14ac:dyDescent="0.25">
      <c r="A52" s="62" t="s">
        <v>513</v>
      </c>
      <c r="B52" s="54">
        <v>418</v>
      </c>
      <c r="C52" s="54">
        <v>310</v>
      </c>
      <c r="D52" s="54">
        <v>20</v>
      </c>
      <c r="E52" s="54">
        <v>30</v>
      </c>
      <c r="F52" s="56">
        <f t="shared" si="1"/>
        <v>71.599999999999994</v>
      </c>
      <c r="G52" s="56">
        <f t="shared" si="2"/>
        <v>257.60000000000002</v>
      </c>
      <c r="H52" s="59">
        <f t="shared" si="3"/>
        <v>4249.22</v>
      </c>
      <c r="I52" s="59">
        <f t="shared" si="4"/>
        <v>77789.578666666668</v>
      </c>
      <c r="J52" s="59">
        <f t="shared" si="5"/>
        <v>17.377519329692319</v>
      </c>
      <c r="K52" s="61">
        <f t="shared" si="6"/>
        <v>14919.366666666665</v>
      </c>
      <c r="L52" s="61">
        <f t="shared" si="7"/>
        <v>7.6103085394911929</v>
      </c>
      <c r="M52" s="56">
        <v>203</v>
      </c>
      <c r="N52" s="56">
        <f t="shared" si="8"/>
        <v>7880.4347826086951</v>
      </c>
      <c r="O52" s="54"/>
    </row>
    <row r="53" spans="1:15" x14ac:dyDescent="0.25">
      <c r="A53" s="62" t="s">
        <v>514</v>
      </c>
      <c r="B53" s="54">
        <v>388</v>
      </c>
      <c r="C53" s="54">
        <v>402</v>
      </c>
      <c r="D53" s="54">
        <v>15</v>
      </c>
      <c r="E53" s="54">
        <v>15</v>
      </c>
      <c r="F53" s="56">
        <f t="shared" si="1"/>
        <v>53.7</v>
      </c>
      <c r="G53" s="56">
        <f t="shared" si="2"/>
        <v>174.3</v>
      </c>
      <c r="H53" s="59">
        <f t="shared" si="3"/>
        <v>2729.8049999999998</v>
      </c>
      <c r="I53" s="59">
        <f t="shared" si="4"/>
        <v>47705.345000000001</v>
      </c>
      <c r="J53" s="59">
        <f t="shared" si="5"/>
        <v>16.543783075899572</v>
      </c>
      <c r="K53" s="61">
        <f t="shared" si="6"/>
        <v>16251.27075</v>
      </c>
      <c r="L53" s="61">
        <f t="shared" si="7"/>
        <v>9.6559491351454589</v>
      </c>
      <c r="M53" s="56">
        <v>140</v>
      </c>
      <c r="N53" s="56">
        <f t="shared" si="8"/>
        <v>8032.128514056225</v>
      </c>
      <c r="O53" s="54"/>
    </row>
    <row r="54" spans="1:15" x14ac:dyDescent="0.25">
      <c r="A54" s="62" t="s">
        <v>515</v>
      </c>
      <c r="B54" s="54">
        <v>394</v>
      </c>
      <c r="C54" s="54">
        <v>398</v>
      </c>
      <c r="D54" s="54">
        <v>11</v>
      </c>
      <c r="E54" s="54">
        <v>18</v>
      </c>
      <c r="F54" s="56">
        <f t="shared" si="1"/>
        <v>39.380000000000003</v>
      </c>
      <c r="G54" s="56">
        <f t="shared" si="2"/>
        <v>182.66</v>
      </c>
      <c r="H54" s="59">
        <f t="shared" si="3"/>
        <v>3046.1149999999998</v>
      </c>
      <c r="I54" s="59">
        <f t="shared" si="4"/>
        <v>54885.48406666665</v>
      </c>
      <c r="J54" s="59">
        <f t="shared" si="5"/>
        <v>17.334328508829</v>
      </c>
      <c r="K54" s="61">
        <f t="shared" si="6"/>
        <v>18917.408416666665</v>
      </c>
      <c r="L54" s="61">
        <f t="shared" si="7"/>
        <v>10.176749708298386</v>
      </c>
      <c r="M54" s="56">
        <v>147</v>
      </c>
      <c r="N54" s="56">
        <f t="shared" si="8"/>
        <v>8047.7389685754952</v>
      </c>
      <c r="O54" s="54"/>
    </row>
    <row r="55" spans="1:15" x14ac:dyDescent="0.25">
      <c r="A55" s="62" t="s">
        <v>516</v>
      </c>
      <c r="B55" s="54">
        <v>394</v>
      </c>
      <c r="C55" s="54">
        <v>405</v>
      </c>
      <c r="D55" s="54">
        <v>18</v>
      </c>
      <c r="E55" s="54">
        <v>18</v>
      </c>
      <c r="F55" s="56">
        <f t="shared" si="1"/>
        <v>64.44</v>
      </c>
      <c r="G55" s="56">
        <f t="shared" si="2"/>
        <v>210.24</v>
      </c>
      <c r="H55" s="59">
        <f t="shared" si="3"/>
        <v>3317.7779999999998</v>
      </c>
      <c r="I55" s="59">
        <f t="shared" si="4"/>
        <v>58453.324800000002</v>
      </c>
      <c r="J55" s="59">
        <f t="shared" si="5"/>
        <v>16.674274062912428</v>
      </c>
      <c r="K55" s="61">
        <f t="shared" si="6"/>
        <v>19946.436300000001</v>
      </c>
      <c r="L55" s="61">
        <f t="shared" si="7"/>
        <v>9.7403594329758523</v>
      </c>
      <c r="M55" s="56">
        <v>168</v>
      </c>
      <c r="N55" s="56">
        <f t="shared" si="8"/>
        <v>7990.8675799086759</v>
      </c>
      <c r="O55" s="54"/>
    </row>
    <row r="56" spans="1:15" x14ac:dyDescent="0.25">
      <c r="A56" s="62" t="s">
        <v>517</v>
      </c>
      <c r="B56" s="54">
        <v>400</v>
      </c>
      <c r="C56" s="54">
        <v>400</v>
      </c>
      <c r="D56" s="54">
        <v>13</v>
      </c>
      <c r="E56" s="54">
        <v>21</v>
      </c>
      <c r="F56" s="56">
        <f t="shared" si="1"/>
        <v>46.54</v>
      </c>
      <c r="G56" s="56">
        <f t="shared" si="2"/>
        <v>214.54</v>
      </c>
      <c r="H56" s="59">
        <f t="shared" si="3"/>
        <v>3600.1329999999998</v>
      </c>
      <c r="I56" s="59">
        <f t="shared" si="4"/>
        <v>65361.587133333298</v>
      </c>
      <c r="J56" s="59">
        <f t="shared" si="5"/>
        <v>17.454489709674668</v>
      </c>
      <c r="K56" s="61">
        <f t="shared" si="6"/>
        <v>22406.554383333336</v>
      </c>
      <c r="L56" s="61">
        <f t="shared" si="7"/>
        <v>10.219588299275122</v>
      </c>
      <c r="M56" s="56">
        <v>172</v>
      </c>
      <c r="N56" s="56">
        <f t="shared" si="8"/>
        <v>8017.152978465555</v>
      </c>
      <c r="O56" s="54"/>
    </row>
    <row r="57" spans="1:15" x14ac:dyDescent="0.25">
      <c r="A57" s="62" t="s">
        <v>518</v>
      </c>
      <c r="B57" s="54">
        <v>400</v>
      </c>
      <c r="C57" s="54">
        <v>408</v>
      </c>
      <c r="D57" s="54">
        <v>21</v>
      </c>
      <c r="E57" s="54">
        <v>21</v>
      </c>
      <c r="F57" s="56">
        <f t="shared" si="1"/>
        <v>75.180000000000007</v>
      </c>
      <c r="G57" s="56">
        <f t="shared" si="2"/>
        <v>246.54</v>
      </c>
      <c r="H57" s="59">
        <f t="shared" si="3"/>
        <v>3920.1329999999998</v>
      </c>
      <c r="I57" s="59">
        <f t="shared" si="4"/>
        <v>69628.253800000006</v>
      </c>
      <c r="J57" s="59">
        <f t="shared" si="5"/>
        <v>16.805407819225078</v>
      </c>
      <c r="K57" s="61">
        <f t="shared" si="6"/>
        <v>23798.687849999998</v>
      </c>
      <c r="L57" s="61">
        <f t="shared" si="7"/>
        <v>9.8250056894270692</v>
      </c>
      <c r="M57" s="56">
        <v>197</v>
      </c>
      <c r="N57" s="56">
        <f t="shared" si="8"/>
        <v>7990.5897623103765</v>
      </c>
      <c r="O57" s="54"/>
    </row>
    <row r="58" spans="1:15" x14ac:dyDescent="0.25">
      <c r="A58" s="62" t="s">
        <v>519</v>
      </c>
      <c r="B58" s="54">
        <v>414</v>
      </c>
      <c r="C58" s="54">
        <v>405</v>
      </c>
      <c r="D58" s="54">
        <v>18</v>
      </c>
      <c r="E58" s="54">
        <v>28</v>
      </c>
      <c r="F58" s="56">
        <f t="shared" si="1"/>
        <v>64.44</v>
      </c>
      <c r="G58" s="56">
        <f t="shared" si="2"/>
        <v>291.24</v>
      </c>
      <c r="H58" s="59">
        <f t="shared" si="3"/>
        <v>4953.9780000000001</v>
      </c>
      <c r="I58" s="59">
        <f t="shared" si="4"/>
        <v>91511.314799999993</v>
      </c>
      <c r="J58" s="59">
        <f t="shared" si="5"/>
        <v>17.726046588207456</v>
      </c>
      <c r="K58" s="61">
        <f t="shared" si="6"/>
        <v>31018.123800000001</v>
      </c>
      <c r="L58" s="61">
        <f t="shared" si="7"/>
        <v>10.320060690596833</v>
      </c>
      <c r="M58" s="56">
        <v>232</v>
      </c>
      <c r="N58" s="56">
        <f t="shared" si="8"/>
        <v>7965.9387446779283</v>
      </c>
      <c r="O58" s="54"/>
    </row>
    <row r="59" spans="1:15" x14ac:dyDescent="0.25">
      <c r="A59" s="62" t="s">
        <v>520</v>
      </c>
      <c r="B59" s="54">
        <v>428</v>
      </c>
      <c r="C59" s="54">
        <v>407</v>
      </c>
      <c r="D59" s="54">
        <v>20</v>
      </c>
      <c r="E59" s="54">
        <v>35</v>
      </c>
      <c r="F59" s="56">
        <f t="shared" si="1"/>
        <v>71.599999999999994</v>
      </c>
      <c r="G59" s="56">
        <f t="shared" si="2"/>
        <v>356.5</v>
      </c>
      <c r="H59" s="59">
        <f t="shared" si="3"/>
        <v>6239.1049999999996</v>
      </c>
      <c r="I59" s="59">
        <f t="shared" si="4"/>
        <v>117944.2543333333</v>
      </c>
      <c r="J59" s="59">
        <f t="shared" si="5"/>
        <v>18.188991810842737</v>
      </c>
      <c r="K59" s="61">
        <f t="shared" si="6"/>
        <v>39351.700083333322</v>
      </c>
      <c r="L59" s="61">
        <f t="shared" si="7"/>
        <v>10.506352861204155</v>
      </c>
      <c r="M59" s="56">
        <v>283</v>
      </c>
      <c r="N59" s="56">
        <f t="shared" si="8"/>
        <v>7938.2889200561012</v>
      </c>
      <c r="O59" s="54"/>
    </row>
    <row r="60" spans="1:15" x14ac:dyDescent="0.25">
      <c r="A60" s="62" t="s">
        <v>521</v>
      </c>
      <c r="B60" s="54">
        <v>446</v>
      </c>
      <c r="C60" s="54">
        <v>199</v>
      </c>
      <c r="D60" s="54">
        <v>8</v>
      </c>
      <c r="E60" s="54">
        <v>12</v>
      </c>
      <c r="F60" s="56">
        <f t="shared" si="1"/>
        <v>33.76</v>
      </c>
      <c r="G60" s="56">
        <f t="shared" si="2"/>
        <v>81.52</v>
      </c>
      <c r="H60" s="59">
        <f t="shared" si="3"/>
        <v>1392.56</v>
      </c>
      <c r="I60" s="59">
        <f t="shared" si="4"/>
        <v>27505.534133333327</v>
      </c>
      <c r="J60" s="59">
        <f t="shared" si="5"/>
        <v>18.368680321363485</v>
      </c>
      <c r="K60" s="61">
        <f t="shared" si="6"/>
        <v>1577.9203333333335</v>
      </c>
      <c r="L60" s="61">
        <f t="shared" si="7"/>
        <v>4.3995722165437385</v>
      </c>
      <c r="M60" s="56">
        <v>65.099999999999994</v>
      </c>
      <c r="N60" s="56">
        <f t="shared" si="8"/>
        <v>7985.7703631010791</v>
      </c>
      <c r="O60" s="54"/>
    </row>
    <row r="61" spans="1:15" x14ac:dyDescent="0.25">
      <c r="A61" s="62" t="s">
        <v>522</v>
      </c>
      <c r="B61" s="54">
        <v>450</v>
      </c>
      <c r="C61" s="54">
        <v>200</v>
      </c>
      <c r="D61" s="54">
        <v>9</v>
      </c>
      <c r="E61" s="54">
        <v>14</v>
      </c>
      <c r="F61" s="56">
        <f t="shared" si="1"/>
        <v>37.979999999999997</v>
      </c>
      <c r="G61" s="56">
        <f t="shared" si="2"/>
        <v>93.98</v>
      </c>
      <c r="H61" s="59">
        <f t="shared" si="3"/>
        <v>1621.489</v>
      </c>
      <c r="I61" s="59">
        <f t="shared" si="4"/>
        <v>32258.945266666651</v>
      </c>
      <c r="J61" s="59">
        <f t="shared" si="5"/>
        <v>18.527096410707419</v>
      </c>
      <c r="K61" s="61">
        <f t="shared" si="6"/>
        <v>1869.2303166666686</v>
      </c>
      <c r="L61" s="61">
        <f t="shared" si="7"/>
        <v>4.4597825892548402</v>
      </c>
      <c r="M61" s="56">
        <v>74.900000000000006</v>
      </c>
      <c r="N61" s="56">
        <f t="shared" si="8"/>
        <v>7969.7808044264739</v>
      </c>
      <c r="O61" s="54"/>
    </row>
    <row r="62" spans="1:15" x14ac:dyDescent="0.25">
      <c r="A62" s="62" t="s">
        <v>523</v>
      </c>
      <c r="B62" s="54">
        <v>456</v>
      </c>
      <c r="C62" s="54">
        <v>201</v>
      </c>
      <c r="D62" s="54">
        <v>10</v>
      </c>
      <c r="E62" s="54">
        <v>17</v>
      </c>
      <c r="F62" s="56">
        <f t="shared" si="1"/>
        <v>42.2</v>
      </c>
      <c r="G62" s="56">
        <f t="shared" si="2"/>
        <v>110.54</v>
      </c>
      <c r="H62" s="59">
        <f t="shared" si="3"/>
        <v>1945.2729999999999</v>
      </c>
      <c r="I62" s="59">
        <f t="shared" si="4"/>
        <v>39205.462066666674</v>
      </c>
      <c r="J62" s="59">
        <f t="shared" si="5"/>
        <v>18.832742061955848</v>
      </c>
      <c r="K62" s="61">
        <f t="shared" si="6"/>
        <v>2304.3536166666668</v>
      </c>
      <c r="L62" s="61">
        <f t="shared" si="7"/>
        <v>4.5657784330909443</v>
      </c>
      <c r="M62" s="56">
        <v>87.9</v>
      </c>
      <c r="N62" s="56">
        <f t="shared" si="8"/>
        <v>7951.8726252940105</v>
      </c>
      <c r="O62" s="54"/>
    </row>
    <row r="63" spans="1:15" x14ac:dyDescent="0.25">
      <c r="A63" s="62" t="s">
        <v>524</v>
      </c>
      <c r="B63" s="54">
        <v>466</v>
      </c>
      <c r="C63" s="54">
        <v>205</v>
      </c>
      <c r="D63" s="54">
        <v>14</v>
      </c>
      <c r="E63" s="54">
        <v>22</v>
      </c>
      <c r="F63" s="56">
        <f t="shared" si="1"/>
        <v>59.08</v>
      </c>
      <c r="G63" s="56">
        <f t="shared" si="2"/>
        <v>149.28</v>
      </c>
      <c r="H63" s="59">
        <f t="shared" si="3"/>
        <v>2625.7339999999999</v>
      </c>
      <c r="I63" s="59">
        <f t="shared" si="4"/>
        <v>53258.217600000004</v>
      </c>
      <c r="J63" s="59">
        <f t="shared" si="5"/>
        <v>18.888283852193375</v>
      </c>
      <c r="K63" s="61">
        <f t="shared" si="6"/>
        <v>3168.5289000000021</v>
      </c>
      <c r="L63" s="61">
        <f t="shared" si="7"/>
        <v>4.6071040750344867</v>
      </c>
      <c r="M63" s="56">
        <v>118</v>
      </c>
      <c r="N63" s="56">
        <f t="shared" si="8"/>
        <v>7904.6087888531611</v>
      </c>
      <c r="O63" s="54"/>
    </row>
    <row r="64" spans="1:15" x14ac:dyDescent="0.25">
      <c r="A64" s="62" t="s">
        <v>525</v>
      </c>
      <c r="B64" s="54">
        <v>478</v>
      </c>
      <c r="C64" s="54">
        <v>208</v>
      </c>
      <c r="D64" s="54">
        <v>17</v>
      </c>
      <c r="E64" s="54">
        <v>28</v>
      </c>
      <c r="F64" s="56">
        <f t="shared" si="1"/>
        <v>71.739999999999995</v>
      </c>
      <c r="G64" s="56">
        <f t="shared" si="2"/>
        <v>188.22</v>
      </c>
      <c r="H64" s="59">
        <f t="shared" si="3"/>
        <v>3377.6570000000002</v>
      </c>
      <c r="I64" s="59">
        <f t="shared" si="4"/>
        <v>69690.555399999997</v>
      </c>
      <c r="J64" s="59">
        <f t="shared" si="5"/>
        <v>19.242171376476502</v>
      </c>
      <c r="K64" s="61">
        <f t="shared" si="6"/>
        <v>4216.769650000002</v>
      </c>
      <c r="L64" s="61">
        <f t="shared" si="7"/>
        <v>4.73322395863641</v>
      </c>
      <c r="M64" s="56">
        <v>149</v>
      </c>
      <c r="N64" s="56">
        <f t="shared" si="8"/>
        <v>7916.2681967909903</v>
      </c>
      <c r="O64" s="54"/>
    </row>
    <row r="65" spans="1:15" x14ac:dyDescent="0.25">
      <c r="A65" s="62" t="s">
        <v>526</v>
      </c>
      <c r="B65" s="54">
        <v>434</v>
      </c>
      <c r="C65" s="54">
        <v>299</v>
      </c>
      <c r="D65" s="54">
        <v>10</v>
      </c>
      <c r="E65" s="54">
        <v>15</v>
      </c>
      <c r="F65" s="56">
        <f t="shared" si="1"/>
        <v>40.4</v>
      </c>
      <c r="G65" s="56">
        <f t="shared" si="2"/>
        <v>130.1</v>
      </c>
      <c r="H65" s="59">
        <f t="shared" si="3"/>
        <v>2287.2550000000001</v>
      </c>
      <c r="I65" s="59">
        <f t="shared" si="4"/>
        <v>44881.311666666676</v>
      </c>
      <c r="J65" s="59">
        <f t="shared" si="5"/>
        <v>18.573515908689746</v>
      </c>
      <c r="K65" s="61">
        <f t="shared" si="6"/>
        <v>6686.0914166666662</v>
      </c>
      <c r="L65" s="61">
        <f t="shared" si="7"/>
        <v>7.168817208872392</v>
      </c>
      <c r="M65" s="56">
        <v>103</v>
      </c>
      <c r="N65" s="56">
        <f t="shared" si="8"/>
        <v>7916.9869331283626</v>
      </c>
      <c r="O65" s="54"/>
    </row>
    <row r="66" spans="1:15" x14ac:dyDescent="0.25">
      <c r="A66" s="62" t="s">
        <v>527</v>
      </c>
      <c r="B66" s="54">
        <v>440</v>
      </c>
      <c r="C66" s="54">
        <v>300</v>
      </c>
      <c r="D66" s="54">
        <v>11</v>
      </c>
      <c r="E66" s="54">
        <v>18</v>
      </c>
      <c r="F66" s="56">
        <f t="shared" si="1"/>
        <v>44.44</v>
      </c>
      <c r="G66" s="56">
        <f t="shared" si="2"/>
        <v>152.44</v>
      </c>
      <c r="H66" s="59">
        <f t="shared" si="3"/>
        <v>2727.6439999999998</v>
      </c>
      <c r="I66" s="59">
        <f t="shared" si="4"/>
        <v>54156.272533333351</v>
      </c>
      <c r="J66" s="59">
        <f t="shared" si="5"/>
        <v>18.848418345746477</v>
      </c>
      <c r="K66" s="61">
        <f t="shared" si="6"/>
        <v>8104.4810333333326</v>
      </c>
      <c r="L66" s="61">
        <f t="shared" si="7"/>
        <v>7.291437123250299</v>
      </c>
      <c r="M66" s="56">
        <v>121</v>
      </c>
      <c r="N66" s="56">
        <f t="shared" ref="N66:N97" si="9">M66/G66*10000</f>
        <v>7937.5491996851224</v>
      </c>
      <c r="O66" s="54"/>
    </row>
    <row r="67" spans="1:15" x14ac:dyDescent="0.25">
      <c r="A67" s="62" t="s">
        <v>528</v>
      </c>
      <c r="B67" s="54">
        <v>446</v>
      </c>
      <c r="C67" s="54">
        <v>302</v>
      </c>
      <c r="D67" s="54">
        <v>13</v>
      </c>
      <c r="E67" s="54">
        <v>21</v>
      </c>
      <c r="F67" s="56">
        <f t="shared" ref="F67:F110" si="10">(B67-2*E67)*D67/100</f>
        <v>52.52</v>
      </c>
      <c r="G67" s="56">
        <f t="shared" ref="G67:G110" si="11">(C67*2*E67+(B67-2*E67)*D67)/100</f>
        <v>179.36</v>
      </c>
      <c r="H67" s="59">
        <f t="shared" ref="H67:H110" si="12">(C67*E67*(B67-E67)+0.25*(B67-2*E67)^2*D67)/1000</f>
        <v>3225.8020000000001</v>
      </c>
      <c r="I67" s="59">
        <f t="shared" ref="I67:I110" si="13">(1/12*C67*B67^3-1/12*(C67-D67)*(B67-2*E67)^3)/10000</f>
        <v>64466.221466666648</v>
      </c>
      <c r="J67" s="59">
        <f t="shared" ref="J67:J110" si="14">SQRT(I67/G67)</f>
        <v>18.958471074514406</v>
      </c>
      <c r="K67" s="61">
        <f t="shared" ref="K67:K110" si="15">(1/12*C67^3*B67-1/12*(C67^3*(B67-2*E67))+1/12*(B67-2*E67)*D67^3)/10000</f>
        <v>9647.6593666666668</v>
      </c>
      <c r="L67" s="61">
        <f t="shared" ref="L67:L110" si="16">SQRT(K67/G67)</f>
        <v>7.3341228954493634</v>
      </c>
      <c r="M67" s="56">
        <v>142</v>
      </c>
      <c r="N67" s="56">
        <f t="shared" si="9"/>
        <v>7917.0383586083844</v>
      </c>
      <c r="O67" s="54"/>
    </row>
    <row r="68" spans="1:15" x14ac:dyDescent="0.25">
      <c r="A68" s="62" t="s">
        <v>529</v>
      </c>
      <c r="B68" s="54">
        <v>450</v>
      </c>
      <c r="C68" s="54">
        <v>304</v>
      </c>
      <c r="D68" s="54">
        <v>15</v>
      </c>
      <c r="E68" s="54">
        <v>23</v>
      </c>
      <c r="F68" s="56">
        <f t="shared" si="10"/>
        <v>60.6</v>
      </c>
      <c r="G68" s="56">
        <f t="shared" si="11"/>
        <v>200.44</v>
      </c>
      <c r="H68" s="59">
        <f t="shared" si="12"/>
        <v>3597.6439999999998</v>
      </c>
      <c r="I68" s="59">
        <f t="shared" si="13"/>
        <v>72046.272533333351</v>
      </c>
      <c r="J68" s="59">
        <f t="shared" si="14"/>
        <v>18.95891857045839</v>
      </c>
      <c r="K68" s="61">
        <f t="shared" si="15"/>
        <v>10780.907033333326</v>
      </c>
      <c r="L68" s="61">
        <f t="shared" si="16"/>
        <v>7.3339079292376343</v>
      </c>
      <c r="M68" s="56">
        <v>158</v>
      </c>
      <c r="N68" s="56">
        <f t="shared" si="9"/>
        <v>7882.6581520654563</v>
      </c>
      <c r="O68" s="54"/>
    </row>
    <row r="69" spans="1:15" x14ac:dyDescent="0.25">
      <c r="A69" s="62" t="s">
        <v>530</v>
      </c>
      <c r="B69" s="54">
        <v>458</v>
      </c>
      <c r="C69" s="54">
        <v>306</v>
      </c>
      <c r="D69" s="54">
        <v>17</v>
      </c>
      <c r="E69" s="54">
        <v>27</v>
      </c>
      <c r="F69" s="56">
        <f t="shared" si="10"/>
        <v>68.680000000000007</v>
      </c>
      <c r="G69" s="56">
        <f t="shared" si="11"/>
        <v>233.92</v>
      </c>
      <c r="H69" s="59">
        <f t="shared" si="12"/>
        <v>4254.59</v>
      </c>
      <c r="I69" s="59">
        <f t="shared" si="13"/>
        <v>86179.64813333335</v>
      </c>
      <c r="J69" s="59">
        <f t="shared" si="14"/>
        <v>19.194140992751212</v>
      </c>
      <c r="K69" s="61">
        <f t="shared" si="15"/>
        <v>12910.217633333334</v>
      </c>
      <c r="L69" s="61">
        <f t="shared" si="16"/>
        <v>7.4290469682583886</v>
      </c>
      <c r="M69" s="56">
        <v>185</v>
      </c>
      <c r="N69" s="56">
        <f t="shared" si="9"/>
        <v>7908.686730506156</v>
      </c>
      <c r="O69" s="54"/>
    </row>
    <row r="70" spans="1:15" x14ac:dyDescent="0.25">
      <c r="A70" s="62" t="s">
        <v>531</v>
      </c>
      <c r="B70" s="54">
        <v>468</v>
      </c>
      <c r="C70" s="54">
        <v>308</v>
      </c>
      <c r="D70" s="54">
        <v>19</v>
      </c>
      <c r="E70" s="54">
        <v>32</v>
      </c>
      <c r="F70" s="56">
        <f t="shared" si="10"/>
        <v>76.760000000000005</v>
      </c>
      <c r="G70" s="56">
        <f t="shared" si="11"/>
        <v>273.88</v>
      </c>
      <c r="H70" s="59">
        <f t="shared" si="12"/>
        <v>5072.4920000000002</v>
      </c>
      <c r="I70" s="59">
        <f t="shared" si="13"/>
        <v>104287.9013333333</v>
      </c>
      <c r="J70" s="59">
        <f t="shared" si="14"/>
        <v>19.513573310706565</v>
      </c>
      <c r="K70" s="61">
        <f t="shared" si="15"/>
        <v>15606.08503333334</v>
      </c>
      <c r="L70" s="61">
        <f t="shared" si="16"/>
        <v>7.5486071634814449</v>
      </c>
      <c r="M70" s="56">
        <v>216</v>
      </c>
      <c r="N70" s="56">
        <f t="shared" si="9"/>
        <v>7886.6656930042354</v>
      </c>
      <c r="O70" s="54"/>
    </row>
    <row r="71" spans="1:15" x14ac:dyDescent="0.25">
      <c r="A71" s="62" t="s">
        <v>532</v>
      </c>
      <c r="B71" s="54">
        <v>496</v>
      </c>
      <c r="C71" s="54">
        <v>199</v>
      </c>
      <c r="D71" s="54">
        <v>9</v>
      </c>
      <c r="E71" s="54">
        <v>14</v>
      </c>
      <c r="F71" s="56">
        <f t="shared" si="10"/>
        <v>42.12</v>
      </c>
      <c r="G71" s="56">
        <f t="shared" si="11"/>
        <v>97.84</v>
      </c>
      <c r="H71" s="59">
        <f t="shared" si="12"/>
        <v>1835.6559999999999</v>
      </c>
      <c r="I71" s="59">
        <f t="shared" si="13"/>
        <v>40059.576533333347</v>
      </c>
      <c r="J71" s="59">
        <f t="shared" si="14"/>
        <v>20.234615440705852</v>
      </c>
      <c r="K71" s="61">
        <f t="shared" si="15"/>
        <v>1841.6495333333314</v>
      </c>
      <c r="L71" s="61">
        <f t="shared" si="16"/>
        <v>4.3385566408439145</v>
      </c>
      <c r="M71" s="56">
        <v>77.900000000000006</v>
      </c>
      <c r="N71" s="56">
        <f t="shared" si="9"/>
        <v>7961.978740801309</v>
      </c>
      <c r="O71" s="54"/>
    </row>
    <row r="72" spans="1:15" x14ac:dyDescent="0.25">
      <c r="A72" s="62" t="s">
        <v>533</v>
      </c>
      <c r="B72" s="54">
        <v>500</v>
      </c>
      <c r="C72" s="54">
        <v>200</v>
      </c>
      <c r="D72" s="54">
        <v>10</v>
      </c>
      <c r="E72" s="54">
        <v>16</v>
      </c>
      <c r="F72" s="56">
        <f t="shared" si="10"/>
        <v>46.8</v>
      </c>
      <c r="G72" s="56">
        <f t="shared" si="11"/>
        <v>110.8</v>
      </c>
      <c r="H72" s="59">
        <f t="shared" si="12"/>
        <v>2096.36</v>
      </c>
      <c r="I72" s="59">
        <f t="shared" si="13"/>
        <v>46036.549333333329</v>
      </c>
      <c r="J72" s="59">
        <f t="shared" si="14"/>
        <v>20.383628786430751</v>
      </c>
      <c r="K72" s="61">
        <f t="shared" si="15"/>
        <v>2137.2333333333313</v>
      </c>
      <c r="L72" s="61">
        <f t="shared" si="16"/>
        <v>4.3919368741613889</v>
      </c>
      <c r="M72" s="56">
        <v>88.1</v>
      </c>
      <c r="N72" s="56">
        <f t="shared" si="9"/>
        <v>7951.2635379061367</v>
      </c>
      <c r="O72" s="54"/>
    </row>
    <row r="73" spans="1:15" x14ac:dyDescent="0.25">
      <c r="A73" s="62" t="s">
        <v>534</v>
      </c>
      <c r="B73" s="54">
        <v>506</v>
      </c>
      <c r="C73" s="54">
        <v>201</v>
      </c>
      <c r="D73" s="54">
        <v>11</v>
      </c>
      <c r="E73" s="54">
        <v>19</v>
      </c>
      <c r="F73" s="56">
        <f t="shared" si="10"/>
        <v>51.48</v>
      </c>
      <c r="G73" s="56">
        <f t="shared" si="11"/>
        <v>127.86</v>
      </c>
      <c r="H73" s="59">
        <f t="shared" si="12"/>
        <v>2462.1689999999999</v>
      </c>
      <c r="I73" s="59">
        <f t="shared" si="13"/>
        <v>54706.527800000025</v>
      </c>
      <c r="J73" s="59">
        <f t="shared" si="14"/>
        <v>20.684842839410209</v>
      </c>
      <c r="K73" s="61">
        <f t="shared" si="15"/>
        <v>2576.7145500000001</v>
      </c>
      <c r="L73" s="61">
        <f t="shared" si="16"/>
        <v>4.4891674456142781</v>
      </c>
      <c r="M73" s="56">
        <v>102</v>
      </c>
      <c r="N73" s="56">
        <f t="shared" si="9"/>
        <v>7977.4753636790238</v>
      </c>
      <c r="O73" s="54"/>
    </row>
    <row r="74" spans="1:15" x14ac:dyDescent="0.25">
      <c r="A74" s="62" t="s">
        <v>535</v>
      </c>
      <c r="B74" s="54">
        <v>512</v>
      </c>
      <c r="C74" s="54">
        <v>202</v>
      </c>
      <c r="D74" s="54">
        <v>12</v>
      </c>
      <c r="E74" s="54">
        <v>22</v>
      </c>
      <c r="F74" s="56">
        <f t="shared" si="10"/>
        <v>56.16</v>
      </c>
      <c r="G74" s="56">
        <f t="shared" si="11"/>
        <v>145.04</v>
      </c>
      <c r="H74" s="59">
        <f t="shared" si="12"/>
        <v>2834.6320000000001</v>
      </c>
      <c r="I74" s="59">
        <f t="shared" si="13"/>
        <v>63636.391466666675</v>
      </c>
      <c r="J74" s="59">
        <f t="shared" si="14"/>
        <v>20.946375119113824</v>
      </c>
      <c r="K74" s="61">
        <f t="shared" si="15"/>
        <v>3028.9554666666627</v>
      </c>
      <c r="L74" s="61">
        <f t="shared" si="16"/>
        <v>4.5698563496508484</v>
      </c>
      <c r="M74" s="56">
        <v>115</v>
      </c>
      <c r="N74" s="56">
        <f t="shared" si="9"/>
        <v>7928.8472145615006</v>
      </c>
      <c r="O74" s="54"/>
    </row>
    <row r="75" spans="1:15" x14ac:dyDescent="0.25">
      <c r="A75" s="62" t="s">
        <v>536</v>
      </c>
      <c r="B75" s="54">
        <v>518</v>
      </c>
      <c r="C75" s="54">
        <v>205</v>
      </c>
      <c r="D75" s="54">
        <v>15</v>
      </c>
      <c r="E75" s="54">
        <v>25</v>
      </c>
      <c r="F75" s="56">
        <f t="shared" si="10"/>
        <v>70.2</v>
      </c>
      <c r="G75" s="56">
        <f t="shared" si="11"/>
        <v>172.7</v>
      </c>
      <c r="H75" s="59">
        <f t="shared" si="12"/>
        <v>3347.9650000000001</v>
      </c>
      <c r="I75" s="59">
        <f t="shared" si="13"/>
        <v>75147.595666666675</v>
      </c>
      <c r="J75" s="59">
        <f t="shared" si="14"/>
        <v>20.859859368416231</v>
      </c>
      <c r="K75" s="61">
        <f t="shared" si="15"/>
        <v>3602.7979166666628</v>
      </c>
      <c r="L75" s="61">
        <f t="shared" si="16"/>
        <v>4.5674497987983953</v>
      </c>
      <c r="M75" s="56">
        <v>137</v>
      </c>
      <c r="N75" s="56">
        <f t="shared" si="9"/>
        <v>7932.8314997104808</v>
      </c>
      <c r="O75" s="54"/>
    </row>
    <row r="76" spans="1:15" x14ac:dyDescent="0.25">
      <c r="A76" s="62" t="s">
        <v>537</v>
      </c>
      <c r="B76" s="54">
        <v>528</v>
      </c>
      <c r="C76" s="54">
        <v>208</v>
      </c>
      <c r="D76" s="54">
        <v>15</v>
      </c>
      <c r="E76" s="54">
        <v>25</v>
      </c>
      <c r="F76" s="56">
        <f t="shared" si="10"/>
        <v>71.7</v>
      </c>
      <c r="G76" s="56">
        <f t="shared" si="11"/>
        <v>175.7</v>
      </c>
      <c r="H76" s="59">
        <f t="shared" si="12"/>
        <v>3472.415</v>
      </c>
      <c r="I76" s="59">
        <f t="shared" si="13"/>
        <v>79488.425666666677</v>
      </c>
      <c r="J76" s="59">
        <f t="shared" si="14"/>
        <v>21.269930312441339</v>
      </c>
      <c r="K76" s="61">
        <f t="shared" si="15"/>
        <v>3762.9904166666629</v>
      </c>
      <c r="L76" s="61">
        <f t="shared" si="16"/>
        <v>4.6278649338080386</v>
      </c>
      <c r="M76" s="56">
        <v>165</v>
      </c>
      <c r="N76" s="56">
        <f t="shared" si="9"/>
        <v>9391.0073989755274</v>
      </c>
      <c r="O76" s="54"/>
    </row>
    <row r="77" spans="1:15" x14ac:dyDescent="0.25">
      <c r="A77" s="62" t="s">
        <v>538</v>
      </c>
      <c r="B77" s="54">
        <v>536</v>
      </c>
      <c r="C77" s="54">
        <v>210</v>
      </c>
      <c r="D77" s="54">
        <v>20</v>
      </c>
      <c r="E77" s="54">
        <v>34</v>
      </c>
      <c r="F77" s="56">
        <f t="shared" si="10"/>
        <v>93.6</v>
      </c>
      <c r="G77" s="56">
        <f t="shared" si="11"/>
        <v>236.4</v>
      </c>
      <c r="H77" s="59">
        <f t="shared" si="12"/>
        <v>4679.3999999999996</v>
      </c>
      <c r="I77" s="59">
        <f t="shared" si="13"/>
        <v>107186.86400000003</v>
      </c>
      <c r="J77" s="59">
        <f t="shared" si="14"/>
        <v>21.293499719107899</v>
      </c>
      <c r="K77" s="61">
        <f t="shared" si="15"/>
        <v>5279.1</v>
      </c>
      <c r="L77" s="61">
        <f t="shared" si="16"/>
        <v>4.7255918437918103</v>
      </c>
      <c r="M77" s="56">
        <v>187</v>
      </c>
      <c r="N77" s="56">
        <f t="shared" si="9"/>
        <v>7910.3214890016916</v>
      </c>
      <c r="O77" s="54"/>
    </row>
    <row r="78" spans="1:15" x14ac:dyDescent="0.25">
      <c r="A78" s="62" t="s">
        <v>539</v>
      </c>
      <c r="B78" s="54">
        <v>548</v>
      </c>
      <c r="C78" s="54">
        <v>215</v>
      </c>
      <c r="D78" s="54">
        <v>25</v>
      </c>
      <c r="E78" s="54">
        <v>40</v>
      </c>
      <c r="F78" s="56">
        <f t="shared" si="10"/>
        <v>117</v>
      </c>
      <c r="G78" s="56">
        <f t="shared" si="11"/>
        <v>289</v>
      </c>
      <c r="H78" s="59">
        <f t="shared" si="12"/>
        <v>5737.7</v>
      </c>
      <c r="I78" s="59">
        <f t="shared" si="13"/>
        <v>132551.69333333333</v>
      </c>
      <c r="J78" s="59">
        <f t="shared" si="14"/>
        <v>21.416264340823595</v>
      </c>
      <c r="K78" s="61">
        <f t="shared" si="15"/>
        <v>6686.5208333333312</v>
      </c>
      <c r="L78" s="61">
        <f t="shared" si="16"/>
        <v>4.8100675970666593</v>
      </c>
      <c r="M78" s="56">
        <v>228</v>
      </c>
      <c r="N78" s="56">
        <f t="shared" si="9"/>
        <v>7889.2733564013843</v>
      </c>
      <c r="O78" s="54"/>
    </row>
    <row r="79" spans="1:15" x14ac:dyDescent="0.25">
      <c r="A79" s="62" t="s">
        <v>540</v>
      </c>
      <c r="B79" s="54">
        <v>482</v>
      </c>
      <c r="C79" s="54">
        <v>300</v>
      </c>
      <c r="D79" s="54">
        <v>11</v>
      </c>
      <c r="E79" s="54">
        <v>15</v>
      </c>
      <c r="F79" s="56">
        <f t="shared" si="10"/>
        <v>49.72</v>
      </c>
      <c r="G79" s="56">
        <f t="shared" si="11"/>
        <v>139.72</v>
      </c>
      <c r="H79" s="59">
        <f t="shared" si="12"/>
        <v>2663.3359999999998</v>
      </c>
      <c r="I79" s="59">
        <f t="shared" si="13"/>
        <v>57551.895733333353</v>
      </c>
      <c r="J79" s="59">
        <f t="shared" si="14"/>
        <v>20.295536137239775</v>
      </c>
      <c r="K79" s="61">
        <f t="shared" si="15"/>
        <v>6755.0134333333326</v>
      </c>
      <c r="L79" s="61">
        <f t="shared" si="16"/>
        <v>6.9531855671658755</v>
      </c>
      <c r="M79" s="56">
        <v>111</v>
      </c>
      <c r="N79" s="56">
        <f t="shared" si="9"/>
        <v>7944.460349269968</v>
      </c>
      <c r="O79" s="54"/>
    </row>
    <row r="80" spans="1:15" x14ac:dyDescent="0.25">
      <c r="A80" s="62" t="s">
        <v>541</v>
      </c>
      <c r="B80" s="54">
        <v>488</v>
      </c>
      <c r="C80" s="54">
        <v>300</v>
      </c>
      <c r="D80" s="54">
        <v>11</v>
      </c>
      <c r="E80" s="54">
        <v>18</v>
      </c>
      <c r="F80" s="56">
        <f t="shared" si="10"/>
        <v>49.72</v>
      </c>
      <c r="G80" s="56">
        <f t="shared" si="11"/>
        <v>157.72</v>
      </c>
      <c r="H80" s="59">
        <f t="shared" si="12"/>
        <v>3099.8359999999998</v>
      </c>
      <c r="I80" s="59">
        <f t="shared" si="13"/>
        <v>68137.155733333348</v>
      </c>
      <c r="J80" s="59">
        <f t="shared" si="14"/>
        <v>20.784932390792452</v>
      </c>
      <c r="K80" s="61">
        <f t="shared" si="15"/>
        <v>8105.0134333333326</v>
      </c>
      <c r="L80" s="61">
        <f t="shared" si="16"/>
        <v>7.1685857614495863</v>
      </c>
      <c r="M80" s="56">
        <v>125</v>
      </c>
      <c r="N80" s="56">
        <f t="shared" si="9"/>
        <v>7925.4374841491244</v>
      </c>
      <c r="O80" s="54"/>
    </row>
    <row r="81" spans="1:15" x14ac:dyDescent="0.25">
      <c r="A81" s="62" t="s">
        <v>542</v>
      </c>
      <c r="B81" s="54">
        <v>494</v>
      </c>
      <c r="C81" s="54">
        <v>302</v>
      </c>
      <c r="D81" s="54">
        <v>13</v>
      </c>
      <c r="E81" s="54">
        <v>21</v>
      </c>
      <c r="F81" s="56">
        <f t="shared" si="10"/>
        <v>58.76</v>
      </c>
      <c r="G81" s="56">
        <f t="shared" si="11"/>
        <v>185.6</v>
      </c>
      <c r="H81" s="59">
        <f t="shared" si="12"/>
        <v>3663.7539999999999</v>
      </c>
      <c r="I81" s="59">
        <f t="shared" si="13"/>
        <v>80995.165466666644</v>
      </c>
      <c r="J81" s="59">
        <f t="shared" si="14"/>
        <v>20.890102097905586</v>
      </c>
      <c r="K81" s="61">
        <f t="shared" si="15"/>
        <v>9648.5381666666672</v>
      </c>
      <c r="L81" s="61">
        <f t="shared" si="16"/>
        <v>7.2101080592162221</v>
      </c>
      <c r="M81" s="56">
        <v>147</v>
      </c>
      <c r="N81" s="56">
        <f t="shared" si="9"/>
        <v>7920.2586206896549</v>
      </c>
      <c r="O81" s="54"/>
    </row>
    <row r="82" spans="1:15" x14ac:dyDescent="0.25">
      <c r="A82" s="62" t="s">
        <v>543</v>
      </c>
      <c r="B82" s="54">
        <v>500</v>
      </c>
      <c r="C82" s="54">
        <v>304</v>
      </c>
      <c r="D82" s="54">
        <v>15</v>
      </c>
      <c r="E82" s="54">
        <v>24</v>
      </c>
      <c r="F82" s="56">
        <f t="shared" si="10"/>
        <v>67.8</v>
      </c>
      <c r="G82" s="56">
        <f t="shared" si="11"/>
        <v>213.72</v>
      </c>
      <c r="H82" s="59">
        <f t="shared" si="12"/>
        <v>4239.0360000000001</v>
      </c>
      <c r="I82" s="59">
        <f t="shared" si="13"/>
        <v>94268.142399999997</v>
      </c>
      <c r="J82" s="59">
        <f t="shared" si="14"/>
        <v>21.001963135605131</v>
      </c>
      <c r="K82" s="61">
        <f t="shared" si="15"/>
        <v>11250.498099999988</v>
      </c>
      <c r="L82" s="61">
        <f t="shared" si="16"/>
        <v>7.2554322746508779</v>
      </c>
      <c r="M82" s="56">
        <v>169</v>
      </c>
      <c r="N82" s="56">
        <f t="shared" si="9"/>
        <v>7907.5425790754261</v>
      </c>
      <c r="O82" s="54"/>
    </row>
    <row r="83" spans="1:15" x14ac:dyDescent="0.25">
      <c r="A83" s="62" t="s">
        <v>544</v>
      </c>
      <c r="B83" s="54">
        <v>510</v>
      </c>
      <c r="C83" s="54">
        <v>306</v>
      </c>
      <c r="D83" s="54">
        <v>17</v>
      </c>
      <c r="E83" s="54">
        <v>29</v>
      </c>
      <c r="F83" s="56">
        <f t="shared" si="10"/>
        <v>76.84</v>
      </c>
      <c r="G83" s="56">
        <f t="shared" si="11"/>
        <v>254.32</v>
      </c>
      <c r="H83" s="59">
        <f t="shared" si="12"/>
        <v>5136.6859999999997</v>
      </c>
      <c r="I83" s="59">
        <f t="shared" si="13"/>
        <v>115861.52573333334</v>
      </c>
      <c r="J83" s="59">
        <f t="shared" si="14"/>
        <v>21.344174565412175</v>
      </c>
      <c r="K83" s="61">
        <f t="shared" si="15"/>
        <v>13867.270033333334</v>
      </c>
      <c r="L83" s="61">
        <f t="shared" si="16"/>
        <v>7.3842302280336618</v>
      </c>
      <c r="M83" s="56">
        <v>201</v>
      </c>
      <c r="N83" s="56">
        <f t="shared" si="9"/>
        <v>7903.4287511796165</v>
      </c>
      <c r="O83" s="54"/>
    </row>
    <row r="84" spans="1:15" x14ac:dyDescent="0.25">
      <c r="A84" s="62" t="s">
        <v>545</v>
      </c>
      <c r="B84" s="54">
        <v>518</v>
      </c>
      <c r="C84" s="54">
        <v>310</v>
      </c>
      <c r="D84" s="54">
        <v>21</v>
      </c>
      <c r="E84" s="54">
        <v>33</v>
      </c>
      <c r="F84" s="56">
        <f t="shared" si="10"/>
        <v>94.92</v>
      </c>
      <c r="G84" s="56">
        <f t="shared" si="11"/>
        <v>299.52</v>
      </c>
      <c r="H84" s="59">
        <f t="shared" si="12"/>
        <v>6034.1459999999997</v>
      </c>
      <c r="I84" s="59">
        <f t="shared" si="13"/>
        <v>136663.7084</v>
      </c>
      <c r="J84" s="59">
        <f t="shared" si="14"/>
        <v>21.360611785340257</v>
      </c>
      <c r="K84" s="61">
        <f t="shared" si="15"/>
        <v>16419.933099999998</v>
      </c>
      <c r="L84" s="61">
        <f t="shared" si="16"/>
        <v>7.4041085655989143</v>
      </c>
      <c r="M84" s="56">
        <v>236</v>
      </c>
      <c r="N84" s="56">
        <f t="shared" si="9"/>
        <v>7879.2735042735048</v>
      </c>
      <c r="O84" s="54"/>
    </row>
    <row r="85" spans="1:15" x14ac:dyDescent="0.25">
      <c r="A85" s="62" t="s">
        <v>546</v>
      </c>
      <c r="B85" s="54">
        <v>532</v>
      </c>
      <c r="C85" s="54">
        <v>314</v>
      </c>
      <c r="D85" s="54">
        <v>25</v>
      </c>
      <c r="E85" s="54">
        <v>40</v>
      </c>
      <c r="F85" s="56">
        <f t="shared" si="10"/>
        <v>113</v>
      </c>
      <c r="G85" s="56">
        <f t="shared" si="11"/>
        <v>364.2</v>
      </c>
      <c r="H85" s="59">
        <f t="shared" si="12"/>
        <v>7456.42</v>
      </c>
      <c r="I85" s="59">
        <f t="shared" si="13"/>
        <v>171589.75200000001</v>
      </c>
      <c r="J85" s="59">
        <f t="shared" si="14"/>
        <v>21.705795276830347</v>
      </c>
      <c r="K85" s="61">
        <f t="shared" si="15"/>
        <v>20698.28349999999</v>
      </c>
      <c r="L85" s="61">
        <f t="shared" si="16"/>
        <v>7.5387127369940981</v>
      </c>
      <c r="M85" s="56">
        <v>287</v>
      </c>
      <c r="N85" s="56">
        <f t="shared" si="9"/>
        <v>7880.2855573860516</v>
      </c>
      <c r="O85" s="54"/>
    </row>
    <row r="86" spans="1:15" x14ac:dyDescent="0.25">
      <c r="A86" s="62" t="s">
        <v>547</v>
      </c>
      <c r="B86" s="54">
        <v>596</v>
      </c>
      <c r="C86" s="54">
        <v>199</v>
      </c>
      <c r="D86" s="54">
        <v>10</v>
      </c>
      <c r="E86" s="54">
        <v>15</v>
      </c>
      <c r="F86" s="56">
        <f t="shared" si="10"/>
        <v>56.6</v>
      </c>
      <c r="G86" s="56">
        <f t="shared" si="11"/>
        <v>116.3</v>
      </c>
      <c r="H86" s="59">
        <f t="shared" si="12"/>
        <v>2535.1750000000002</v>
      </c>
      <c r="I86" s="59">
        <f t="shared" si="13"/>
        <v>65502.297666666651</v>
      </c>
      <c r="J86" s="59">
        <f t="shared" si="14"/>
        <v>23.732222412256732</v>
      </c>
      <c r="K86" s="61">
        <f t="shared" si="15"/>
        <v>1974.8664166666667</v>
      </c>
      <c r="L86" s="61">
        <f t="shared" si="16"/>
        <v>4.1207759755048663</v>
      </c>
      <c r="M86" s="56">
        <v>92.4</v>
      </c>
      <c r="N86" s="56">
        <f t="shared" si="9"/>
        <v>7944.9699054170251</v>
      </c>
      <c r="O86" s="54"/>
    </row>
    <row r="87" spans="1:15" x14ac:dyDescent="0.25">
      <c r="A87" s="62" t="s">
        <v>548</v>
      </c>
      <c r="B87" s="54">
        <v>600</v>
      </c>
      <c r="C87" s="54">
        <v>200</v>
      </c>
      <c r="D87" s="54">
        <v>11</v>
      </c>
      <c r="E87" s="54">
        <v>17</v>
      </c>
      <c r="F87" s="56">
        <f t="shared" si="10"/>
        <v>62.26</v>
      </c>
      <c r="G87" s="56">
        <f t="shared" si="11"/>
        <v>130.26</v>
      </c>
      <c r="H87" s="59">
        <f t="shared" si="12"/>
        <v>2863.1790000000001</v>
      </c>
      <c r="I87" s="59">
        <f t="shared" si="13"/>
        <v>74418.643799999947</v>
      </c>
      <c r="J87" s="59">
        <f t="shared" si="14"/>
        <v>23.902060354193207</v>
      </c>
      <c r="K87" s="61">
        <f t="shared" si="15"/>
        <v>2272.944550000002</v>
      </c>
      <c r="L87" s="61">
        <f t="shared" si="16"/>
        <v>4.1772347630487108</v>
      </c>
      <c r="M87" s="56">
        <v>103</v>
      </c>
      <c r="N87" s="56">
        <f t="shared" si="9"/>
        <v>7907.2623982803625</v>
      </c>
      <c r="O87" s="54"/>
    </row>
    <row r="88" spans="1:15" x14ac:dyDescent="0.25">
      <c r="A88" s="62" t="s">
        <v>549</v>
      </c>
      <c r="B88" s="54">
        <v>606</v>
      </c>
      <c r="C88" s="54">
        <v>201</v>
      </c>
      <c r="D88" s="54">
        <v>12</v>
      </c>
      <c r="E88" s="54">
        <v>20</v>
      </c>
      <c r="F88" s="56">
        <f t="shared" si="10"/>
        <v>67.92</v>
      </c>
      <c r="G88" s="56">
        <f t="shared" si="11"/>
        <v>148.32</v>
      </c>
      <c r="H88" s="59">
        <f t="shared" si="12"/>
        <v>3316.788</v>
      </c>
      <c r="I88" s="59">
        <f t="shared" si="13"/>
        <v>87181.545599999998</v>
      </c>
      <c r="J88" s="59">
        <f t="shared" si="14"/>
        <v>24.244454875971325</v>
      </c>
      <c r="K88" s="61">
        <f t="shared" si="15"/>
        <v>2715.0174000000002</v>
      </c>
      <c r="L88" s="61">
        <f t="shared" si="16"/>
        <v>4.2784498939622555</v>
      </c>
      <c r="M88" s="56">
        <v>118</v>
      </c>
      <c r="N88" s="56">
        <f t="shared" si="9"/>
        <v>7955.7713052858689</v>
      </c>
      <c r="O88" s="54"/>
    </row>
    <row r="89" spans="1:15" x14ac:dyDescent="0.25">
      <c r="A89" s="62" t="s">
        <v>550</v>
      </c>
      <c r="B89" s="54">
        <v>612</v>
      </c>
      <c r="C89" s="54">
        <v>202</v>
      </c>
      <c r="D89" s="54">
        <v>13</v>
      </c>
      <c r="E89" s="54">
        <v>23</v>
      </c>
      <c r="F89" s="56">
        <f t="shared" si="10"/>
        <v>73.58</v>
      </c>
      <c r="G89" s="56">
        <f t="shared" si="11"/>
        <v>166.5</v>
      </c>
      <c r="H89" s="59">
        <f t="shared" si="12"/>
        <v>3777.6509999999998</v>
      </c>
      <c r="I89" s="59">
        <f t="shared" si="13"/>
        <v>100273.87259999996</v>
      </c>
      <c r="J89" s="59">
        <f t="shared" si="14"/>
        <v>24.540690313866087</v>
      </c>
      <c r="K89" s="61">
        <f t="shared" si="15"/>
        <v>3169.952249999998</v>
      </c>
      <c r="L89" s="61">
        <f t="shared" si="16"/>
        <v>4.363341867451167</v>
      </c>
      <c r="M89" s="56">
        <v>132</v>
      </c>
      <c r="N89" s="56">
        <f t="shared" si="9"/>
        <v>7927.9279279279281</v>
      </c>
      <c r="O89" s="54"/>
    </row>
    <row r="90" spans="1:15" x14ac:dyDescent="0.25">
      <c r="A90" s="62" t="s">
        <v>551</v>
      </c>
      <c r="B90" s="54">
        <v>618</v>
      </c>
      <c r="C90" s="54">
        <v>205</v>
      </c>
      <c r="D90" s="54">
        <v>16</v>
      </c>
      <c r="E90" s="54">
        <v>26</v>
      </c>
      <c r="F90" s="56">
        <f t="shared" si="10"/>
        <v>90.56</v>
      </c>
      <c r="G90" s="56">
        <f t="shared" si="11"/>
        <v>197.16</v>
      </c>
      <c r="H90" s="59">
        <f t="shared" si="12"/>
        <v>4436.7839999999997</v>
      </c>
      <c r="I90" s="59">
        <f t="shared" si="13"/>
        <v>117634.90679999995</v>
      </c>
      <c r="J90" s="59">
        <f t="shared" si="14"/>
        <v>24.42635708139473</v>
      </c>
      <c r="K90" s="61">
        <f t="shared" si="15"/>
        <v>3752.5402999999978</v>
      </c>
      <c r="L90" s="61">
        <f t="shared" si="16"/>
        <v>4.3626791847790169</v>
      </c>
      <c r="M90" s="56">
        <v>156</v>
      </c>
      <c r="N90" s="56">
        <f t="shared" si="9"/>
        <v>7912.3554473524036</v>
      </c>
      <c r="O90" s="54"/>
    </row>
    <row r="91" spans="1:15" x14ac:dyDescent="0.25">
      <c r="A91" s="62" t="s">
        <v>552</v>
      </c>
      <c r="B91" s="54">
        <v>626</v>
      </c>
      <c r="C91" s="54">
        <v>207</v>
      </c>
      <c r="D91" s="54">
        <v>18</v>
      </c>
      <c r="E91" s="54">
        <v>30</v>
      </c>
      <c r="F91" s="56">
        <f t="shared" si="10"/>
        <v>101.88</v>
      </c>
      <c r="G91" s="56">
        <f t="shared" si="11"/>
        <v>226.08</v>
      </c>
      <c r="H91" s="59">
        <f t="shared" si="12"/>
        <v>5142.7619999999997</v>
      </c>
      <c r="I91" s="59">
        <f t="shared" si="13"/>
        <v>137585.9424</v>
      </c>
      <c r="J91" s="59">
        <f t="shared" si="14"/>
        <v>24.669250739725516</v>
      </c>
      <c r="K91" s="61">
        <f t="shared" si="15"/>
        <v>4462.3791000000001</v>
      </c>
      <c r="L91" s="61">
        <f t="shared" si="16"/>
        <v>4.4427529015182738</v>
      </c>
      <c r="M91" s="56">
        <v>179</v>
      </c>
      <c r="N91" s="56">
        <f t="shared" si="9"/>
        <v>7917.5513092710535</v>
      </c>
      <c r="O91" s="54"/>
    </row>
    <row r="92" spans="1:15" x14ac:dyDescent="0.25">
      <c r="A92" s="62" t="s">
        <v>553</v>
      </c>
      <c r="B92" s="54">
        <v>634</v>
      </c>
      <c r="C92" s="54">
        <v>209</v>
      </c>
      <c r="D92" s="54">
        <v>20</v>
      </c>
      <c r="E92" s="54">
        <v>34</v>
      </c>
      <c r="F92" s="56">
        <f t="shared" si="10"/>
        <v>113.2</v>
      </c>
      <c r="G92" s="56">
        <f t="shared" si="11"/>
        <v>255.32</v>
      </c>
      <c r="H92" s="59">
        <f t="shared" si="12"/>
        <v>5865.38</v>
      </c>
      <c r="I92" s="59">
        <f t="shared" si="13"/>
        <v>158265.15826666661</v>
      </c>
      <c r="J92" s="59">
        <f t="shared" si="14"/>
        <v>24.897184652990362</v>
      </c>
      <c r="K92" s="61">
        <f t="shared" si="15"/>
        <v>5211.0197666666645</v>
      </c>
      <c r="L92" s="61">
        <f t="shared" si="16"/>
        <v>4.51771616936181</v>
      </c>
      <c r="M92" s="56">
        <v>202</v>
      </c>
      <c r="N92" s="56">
        <f t="shared" si="9"/>
        <v>7911.6402945323516</v>
      </c>
      <c r="O92" s="54"/>
    </row>
    <row r="93" spans="1:15" x14ac:dyDescent="0.25">
      <c r="A93" s="62" t="s">
        <v>554</v>
      </c>
      <c r="B93" s="54">
        <v>646</v>
      </c>
      <c r="C93" s="54">
        <v>214</v>
      </c>
      <c r="D93" s="54">
        <v>25</v>
      </c>
      <c r="E93" s="54">
        <v>40</v>
      </c>
      <c r="F93" s="56">
        <f t="shared" si="10"/>
        <v>141.5</v>
      </c>
      <c r="G93" s="56">
        <f t="shared" si="11"/>
        <v>312.7</v>
      </c>
      <c r="H93" s="59">
        <f t="shared" si="12"/>
        <v>7189.585</v>
      </c>
      <c r="I93" s="59">
        <f t="shared" si="13"/>
        <v>195180.58633333331</v>
      </c>
      <c r="J93" s="59">
        <f t="shared" si="14"/>
        <v>24.983562638049232</v>
      </c>
      <c r="K93" s="61">
        <f t="shared" si="15"/>
        <v>6607.2605833333291</v>
      </c>
      <c r="L93" s="61">
        <f t="shared" si="16"/>
        <v>4.5967065222528127</v>
      </c>
      <c r="M93" s="56">
        <v>247</v>
      </c>
      <c r="N93" s="56">
        <f t="shared" si="9"/>
        <v>7898.9446754077399</v>
      </c>
      <c r="O93" s="54"/>
    </row>
    <row r="94" spans="1:15" x14ac:dyDescent="0.25">
      <c r="A94" s="62" t="s">
        <v>555</v>
      </c>
      <c r="B94" s="54">
        <v>582</v>
      </c>
      <c r="C94" s="54">
        <v>300</v>
      </c>
      <c r="D94" s="54">
        <v>12</v>
      </c>
      <c r="E94" s="54">
        <v>17</v>
      </c>
      <c r="F94" s="56">
        <f t="shared" si="10"/>
        <v>65.760000000000005</v>
      </c>
      <c r="G94" s="56">
        <f t="shared" si="11"/>
        <v>167.76</v>
      </c>
      <c r="H94" s="59">
        <f t="shared" si="12"/>
        <v>3782.4119999999998</v>
      </c>
      <c r="I94" s="59">
        <f t="shared" si="13"/>
        <v>97883.599199999997</v>
      </c>
      <c r="J94" s="59">
        <f t="shared" si="14"/>
        <v>24.155206596559275</v>
      </c>
      <c r="K94" s="61">
        <f t="shared" si="15"/>
        <v>7657.8912</v>
      </c>
      <c r="L94" s="61">
        <f t="shared" si="16"/>
        <v>6.7563227421214984</v>
      </c>
      <c r="M94" s="56">
        <v>133</v>
      </c>
      <c r="N94" s="56">
        <f t="shared" si="9"/>
        <v>7927.9923700524569</v>
      </c>
      <c r="O94" s="54"/>
    </row>
    <row r="95" spans="1:15" x14ac:dyDescent="0.25">
      <c r="A95" s="62" t="s">
        <v>556</v>
      </c>
      <c r="B95" s="54">
        <v>588</v>
      </c>
      <c r="C95" s="54">
        <v>300</v>
      </c>
      <c r="D95" s="54">
        <v>12</v>
      </c>
      <c r="E95" s="54">
        <v>20</v>
      </c>
      <c r="F95" s="56">
        <f t="shared" si="10"/>
        <v>65.760000000000005</v>
      </c>
      <c r="G95" s="56">
        <f t="shared" si="11"/>
        <v>185.76</v>
      </c>
      <c r="H95" s="59">
        <f t="shared" si="12"/>
        <v>4308.9120000000003</v>
      </c>
      <c r="I95" s="59">
        <f t="shared" si="13"/>
        <v>113283.85920000001</v>
      </c>
      <c r="J95" s="59">
        <f t="shared" si="14"/>
        <v>24.694936659988155</v>
      </c>
      <c r="K95" s="61">
        <f t="shared" si="15"/>
        <v>9007.8912</v>
      </c>
      <c r="L95" s="61">
        <f t="shared" si="16"/>
        <v>6.9636264276062239</v>
      </c>
      <c r="M95" s="56">
        <v>147</v>
      </c>
      <c r="N95" s="56">
        <f t="shared" si="9"/>
        <v>7913.4366925064605</v>
      </c>
      <c r="O95" s="54"/>
    </row>
    <row r="96" spans="1:15" x14ac:dyDescent="0.25">
      <c r="A96" s="62" t="s">
        <v>557</v>
      </c>
      <c r="B96" s="54">
        <v>594</v>
      </c>
      <c r="C96" s="54">
        <v>302</v>
      </c>
      <c r="D96" s="54">
        <v>14</v>
      </c>
      <c r="E96" s="54">
        <v>23</v>
      </c>
      <c r="F96" s="56">
        <f t="shared" si="10"/>
        <v>76.72</v>
      </c>
      <c r="G96" s="56">
        <f t="shared" si="11"/>
        <v>215.64</v>
      </c>
      <c r="H96" s="59">
        <f t="shared" si="12"/>
        <v>5017.2299999999996</v>
      </c>
      <c r="I96" s="59">
        <f t="shared" si="13"/>
        <v>132494.71559999991</v>
      </c>
      <c r="J96" s="59">
        <f t="shared" si="14"/>
        <v>24.787607863953699</v>
      </c>
      <c r="K96" s="61">
        <f t="shared" si="15"/>
        <v>10570.914000000008</v>
      </c>
      <c r="L96" s="61">
        <f t="shared" si="16"/>
        <v>7.0015083039931367</v>
      </c>
      <c r="M96" s="56">
        <v>170</v>
      </c>
      <c r="N96" s="56">
        <f t="shared" si="9"/>
        <v>7883.5095529586351</v>
      </c>
      <c r="O96" s="54"/>
    </row>
    <row r="97" spans="1:15" x14ac:dyDescent="0.25">
      <c r="A97" s="62" t="s">
        <v>558</v>
      </c>
      <c r="B97" s="54">
        <v>600</v>
      </c>
      <c r="C97" s="54">
        <v>304</v>
      </c>
      <c r="D97" s="54">
        <v>16</v>
      </c>
      <c r="E97" s="54">
        <v>26</v>
      </c>
      <c r="F97" s="56">
        <f t="shared" si="10"/>
        <v>87.68</v>
      </c>
      <c r="G97" s="56">
        <f t="shared" si="11"/>
        <v>245.76</v>
      </c>
      <c r="H97" s="59">
        <f t="shared" si="12"/>
        <v>5738.1120000000001</v>
      </c>
      <c r="I97" s="59">
        <f t="shared" si="13"/>
        <v>152240.17920000001</v>
      </c>
      <c r="J97" s="59">
        <f t="shared" si="14"/>
        <v>24.889091486030583</v>
      </c>
      <c r="K97" s="61">
        <f t="shared" si="15"/>
        <v>12192.972799999992</v>
      </c>
      <c r="L97" s="61">
        <f t="shared" si="16"/>
        <v>7.0436732841134324</v>
      </c>
      <c r="M97" s="56">
        <v>194</v>
      </c>
      <c r="N97" s="56">
        <f t="shared" si="9"/>
        <v>7893.8802083333339</v>
      </c>
      <c r="O97" s="54"/>
    </row>
    <row r="98" spans="1:15" x14ac:dyDescent="0.25">
      <c r="A98" s="62" t="s">
        <v>559</v>
      </c>
      <c r="B98" s="54">
        <v>608</v>
      </c>
      <c r="C98" s="54">
        <v>306</v>
      </c>
      <c r="D98" s="54">
        <v>18</v>
      </c>
      <c r="E98" s="54">
        <v>30</v>
      </c>
      <c r="F98" s="56">
        <f t="shared" si="10"/>
        <v>98.64</v>
      </c>
      <c r="G98" s="56">
        <f t="shared" si="11"/>
        <v>282.24</v>
      </c>
      <c r="H98" s="59">
        <f t="shared" si="12"/>
        <v>6657.4080000000004</v>
      </c>
      <c r="I98" s="59">
        <f t="shared" si="13"/>
        <v>178167.24479999999</v>
      </c>
      <c r="J98" s="59">
        <f t="shared" si="14"/>
        <v>25.124917842624669</v>
      </c>
      <c r="K98" s="61">
        <f t="shared" si="15"/>
        <v>14352.9408</v>
      </c>
      <c r="L98" s="61">
        <f t="shared" si="16"/>
        <v>7.1311761631155735</v>
      </c>
      <c r="M98" s="56">
        <v>223</v>
      </c>
      <c r="N98" s="56">
        <f t="shared" ref="N98:N110" si="17">M98/G98*10000</f>
        <v>7901.0770975056685</v>
      </c>
      <c r="O98" s="54"/>
    </row>
    <row r="99" spans="1:15" x14ac:dyDescent="0.25">
      <c r="A99" s="62" t="s">
        <v>560</v>
      </c>
      <c r="B99" s="54">
        <v>616</v>
      </c>
      <c r="C99" s="54">
        <v>308</v>
      </c>
      <c r="D99" s="54">
        <v>20</v>
      </c>
      <c r="E99" s="54">
        <v>34</v>
      </c>
      <c r="F99" s="56">
        <f t="shared" si="10"/>
        <v>109.6</v>
      </c>
      <c r="G99" s="56">
        <f t="shared" si="11"/>
        <v>319.04000000000002</v>
      </c>
      <c r="H99" s="59">
        <f t="shared" si="12"/>
        <v>7596.2240000000002</v>
      </c>
      <c r="I99" s="59">
        <f t="shared" si="13"/>
        <v>204985.41226666659</v>
      </c>
      <c r="J99" s="59">
        <f t="shared" si="14"/>
        <v>25.347720491904994</v>
      </c>
      <c r="K99" s="61">
        <f t="shared" si="15"/>
        <v>16593.463466666661</v>
      </c>
      <c r="L99" s="61">
        <f t="shared" si="16"/>
        <v>7.2118378482034418</v>
      </c>
      <c r="M99" s="56">
        <v>252</v>
      </c>
      <c r="N99" s="56">
        <f t="shared" si="17"/>
        <v>7898.6960882647936</v>
      </c>
      <c r="O99" s="54"/>
    </row>
    <row r="100" spans="1:15" x14ac:dyDescent="0.25">
      <c r="A100" s="62" t="s">
        <v>561</v>
      </c>
      <c r="B100" s="54">
        <v>628</v>
      </c>
      <c r="C100" s="54">
        <v>312</v>
      </c>
      <c r="D100" s="54">
        <v>24</v>
      </c>
      <c r="E100" s="54">
        <v>40</v>
      </c>
      <c r="F100" s="56">
        <f t="shared" si="10"/>
        <v>131.52000000000001</v>
      </c>
      <c r="G100" s="56">
        <f t="shared" si="11"/>
        <v>381.12</v>
      </c>
      <c r="H100" s="59">
        <f t="shared" si="12"/>
        <v>9140.0640000000003</v>
      </c>
      <c r="I100" s="59">
        <f t="shared" si="13"/>
        <v>248990.3744</v>
      </c>
      <c r="J100" s="59">
        <f t="shared" si="14"/>
        <v>25.559974088383278</v>
      </c>
      <c r="K100" s="61">
        <f t="shared" si="15"/>
        <v>20310.6816</v>
      </c>
      <c r="L100" s="61">
        <f t="shared" si="16"/>
        <v>7.3001431958627192</v>
      </c>
      <c r="M100" s="56">
        <v>300</v>
      </c>
      <c r="N100" s="56">
        <f t="shared" si="17"/>
        <v>7871.5365239294706</v>
      </c>
      <c r="O100" s="54"/>
    </row>
    <row r="101" spans="1:15" x14ac:dyDescent="0.25">
      <c r="A101" s="62" t="s">
        <v>562</v>
      </c>
      <c r="B101" s="54">
        <v>692</v>
      </c>
      <c r="C101" s="54">
        <v>300</v>
      </c>
      <c r="D101" s="54">
        <v>13</v>
      </c>
      <c r="E101" s="54">
        <v>20</v>
      </c>
      <c r="F101" s="56">
        <f t="shared" si="10"/>
        <v>84.76</v>
      </c>
      <c r="G101" s="56">
        <f t="shared" si="11"/>
        <v>204.76</v>
      </c>
      <c r="H101" s="59">
        <f t="shared" si="12"/>
        <v>5413.5879999999997</v>
      </c>
      <c r="I101" s="59">
        <f t="shared" si="13"/>
        <v>165541.7125333334</v>
      </c>
      <c r="J101" s="59">
        <f t="shared" si="14"/>
        <v>28.433554947443245</v>
      </c>
      <c r="K101" s="61">
        <f t="shared" si="15"/>
        <v>9011.9370333333336</v>
      </c>
      <c r="L101" s="61">
        <f t="shared" si="16"/>
        <v>6.6341687442659065</v>
      </c>
      <c r="M101" s="56">
        <v>163</v>
      </c>
      <c r="N101" s="56">
        <f t="shared" si="17"/>
        <v>7960.5391678062124</v>
      </c>
      <c r="O101" s="54"/>
    </row>
    <row r="102" spans="1:15" x14ac:dyDescent="0.25">
      <c r="A102" s="62" t="s">
        <v>563</v>
      </c>
      <c r="B102" s="54">
        <v>700</v>
      </c>
      <c r="C102" s="54">
        <v>300</v>
      </c>
      <c r="D102" s="54">
        <v>13</v>
      </c>
      <c r="E102" s="54">
        <v>24</v>
      </c>
      <c r="F102" s="56">
        <f t="shared" si="10"/>
        <v>84.76</v>
      </c>
      <c r="G102" s="56">
        <f t="shared" si="11"/>
        <v>228.76</v>
      </c>
      <c r="H102" s="59">
        <f t="shared" si="12"/>
        <v>6248.7879999999996</v>
      </c>
      <c r="I102" s="59">
        <f t="shared" si="13"/>
        <v>194606.9925333334</v>
      </c>
      <c r="J102" s="59">
        <f t="shared" si="14"/>
        <v>29.166826391122953</v>
      </c>
      <c r="K102" s="61">
        <f t="shared" si="15"/>
        <v>10811.937033333334</v>
      </c>
      <c r="L102" s="61">
        <f t="shared" si="16"/>
        <v>6.8748259871898698</v>
      </c>
      <c r="M102" s="56">
        <v>182</v>
      </c>
      <c r="N102" s="56">
        <f t="shared" si="17"/>
        <v>7955.9363525091794</v>
      </c>
      <c r="O102" s="54"/>
    </row>
    <row r="103" spans="1:15" x14ac:dyDescent="0.25">
      <c r="A103" s="62" t="s">
        <v>564</v>
      </c>
      <c r="B103" s="54">
        <v>708</v>
      </c>
      <c r="C103" s="54">
        <v>302</v>
      </c>
      <c r="D103" s="54">
        <v>15</v>
      </c>
      <c r="E103" s="54">
        <v>28</v>
      </c>
      <c r="F103" s="56">
        <f t="shared" si="10"/>
        <v>97.8</v>
      </c>
      <c r="G103" s="56">
        <f t="shared" si="11"/>
        <v>266.92</v>
      </c>
      <c r="H103" s="59">
        <f t="shared" si="12"/>
        <v>7344.22</v>
      </c>
      <c r="I103" s="59">
        <f t="shared" si="13"/>
        <v>230259.18773333338</v>
      </c>
      <c r="J103" s="59">
        <f t="shared" si="14"/>
        <v>29.370945408473354</v>
      </c>
      <c r="K103" s="61">
        <f t="shared" si="15"/>
        <v>12872.021233333349</v>
      </c>
      <c r="L103" s="61">
        <f t="shared" si="16"/>
        <v>6.9443694149833997</v>
      </c>
      <c r="M103" s="56">
        <v>212</v>
      </c>
      <c r="N103" s="56">
        <f t="shared" si="17"/>
        <v>7942.4546680653375</v>
      </c>
      <c r="O103" s="54"/>
    </row>
    <row r="104" spans="1:15" x14ac:dyDescent="0.25">
      <c r="A104" s="62" t="s">
        <v>565</v>
      </c>
      <c r="B104" s="54">
        <v>712</v>
      </c>
      <c r="C104" s="54">
        <v>306</v>
      </c>
      <c r="D104" s="54">
        <v>19</v>
      </c>
      <c r="E104" s="54">
        <v>30</v>
      </c>
      <c r="F104" s="56">
        <f t="shared" si="10"/>
        <v>123.88</v>
      </c>
      <c r="G104" s="56">
        <f t="shared" si="11"/>
        <v>307.48</v>
      </c>
      <c r="H104" s="59">
        <f t="shared" si="12"/>
        <v>8280.0040000000008</v>
      </c>
      <c r="I104" s="59">
        <f t="shared" si="13"/>
        <v>257514.5189333334</v>
      </c>
      <c r="J104" s="59">
        <f t="shared" si="14"/>
        <v>28.939593320843692</v>
      </c>
      <c r="K104" s="61">
        <f t="shared" si="15"/>
        <v>14363.575233333335</v>
      </c>
      <c r="L104" s="61">
        <f t="shared" si="16"/>
        <v>6.8347532556968762</v>
      </c>
      <c r="M104" s="56">
        <v>244</v>
      </c>
      <c r="N104" s="56">
        <f t="shared" si="17"/>
        <v>7935.4754780798739</v>
      </c>
      <c r="O104" s="54"/>
    </row>
    <row r="105" spans="1:15" x14ac:dyDescent="0.25">
      <c r="A105" s="62" t="s">
        <v>566</v>
      </c>
      <c r="B105" s="54">
        <v>718</v>
      </c>
      <c r="C105" s="54">
        <v>308</v>
      </c>
      <c r="D105" s="54">
        <v>21</v>
      </c>
      <c r="E105" s="54">
        <v>33</v>
      </c>
      <c r="F105" s="56">
        <f t="shared" si="10"/>
        <v>136.91999999999999</v>
      </c>
      <c r="G105" s="56">
        <f t="shared" si="11"/>
        <v>340.2</v>
      </c>
      <c r="H105" s="59">
        <f t="shared" si="12"/>
        <v>9194.1360000000004</v>
      </c>
      <c r="I105" s="59">
        <f t="shared" si="13"/>
        <v>287148.98800000001</v>
      </c>
      <c r="J105" s="59">
        <f t="shared" si="14"/>
        <v>29.052699385148124</v>
      </c>
      <c r="K105" s="61">
        <f t="shared" si="15"/>
        <v>16120.279699999999</v>
      </c>
      <c r="L105" s="61">
        <f t="shared" si="16"/>
        <v>6.8836555689378844</v>
      </c>
      <c r="M105" s="56">
        <v>269</v>
      </c>
      <c r="N105" s="56">
        <f t="shared" si="17"/>
        <v>7907.1134626690191</v>
      </c>
      <c r="O105" s="54"/>
    </row>
    <row r="106" spans="1:15" x14ac:dyDescent="0.25">
      <c r="A106" s="62" t="s">
        <v>567</v>
      </c>
      <c r="B106" s="54">
        <v>732</v>
      </c>
      <c r="C106" s="54">
        <v>311</v>
      </c>
      <c r="D106" s="54">
        <v>24</v>
      </c>
      <c r="E106" s="54">
        <v>40</v>
      </c>
      <c r="F106" s="56">
        <f t="shared" si="10"/>
        <v>156.47999999999999</v>
      </c>
      <c r="G106" s="56">
        <f t="shared" si="11"/>
        <v>405.28</v>
      </c>
      <c r="H106" s="59">
        <f t="shared" si="12"/>
        <v>11159.103999999999</v>
      </c>
      <c r="I106" s="59">
        <f t="shared" si="13"/>
        <v>353618.70293333341</v>
      </c>
      <c r="J106" s="59">
        <f t="shared" si="14"/>
        <v>29.538608119779479</v>
      </c>
      <c r="K106" s="61">
        <f t="shared" si="15"/>
        <v>20128.59773333335</v>
      </c>
      <c r="L106" s="61">
        <f t="shared" si="16"/>
        <v>7.0474040891178662</v>
      </c>
      <c r="M106" s="56">
        <v>320</v>
      </c>
      <c r="N106" s="56">
        <f t="shared" si="17"/>
        <v>7895.7757599684173</v>
      </c>
      <c r="O106" s="54"/>
    </row>
    <row r="107" spans="1:15" x14ac:dyDescent="0.25">
      <c r="A107" s="62" t="s">
        <v>568</v>
      </c>
      <c r="B107" s="54">
        <v>792</v>
      </c>
      <c r="C107" s="54">
        <v>300</v>
      </c>
      <c r="D107" s="54">
        <v>14</v>
      </c>
      <c r="E107" s="54">
        <v>22</v>
      </c>
      <c r="F107" s="56">
        <f t="shared" si="10"/>
        <v>104.72</v>
      </c>
      <c r="G107" s="56">
        <f t="shared" si="11"/>
        <v>236.72</v>
      </c>
      <c r="H107" s="59">
        <f t="shared" si="12"/>
        <v>7040.2640000000001</v>
      </c>
      <c r="I107" s="59">
        <f t="shared" si="13"/>
        <v>244536.2890666668</v>
      </c>
      <c r="J107" s="59">
        <f t="shared" si="14"/>
        <v>32.140615000180681</v>
      </c>
      <c r="K107" s="61">
        <f t="shared" si="15"/>
        <v>9917.1042666666672</v>
      </c>
      <c r="L107" s="61">
        <f t="shared" si="16"/>
        <v>6.472543287202396</v>
      </c>
      <c r="M107" s="56">
        <v>188</v>
      </c>
      <c r="N107" s="56">
        <f t="shared" si="17"/>
        <v>7941.872254139912</v>
      </c>
      <c r="O107" s="54"/>
    </row>
    <row r="108" spans="1:15" x14ac:dyDescent="0.25">
      <c r="A108" s="62" t="s">
        <v>569</v>
      </c>
      <c r="B108" s="54">
        <v>800</v>
      </c>
      <c r="C108" s="54">
        <v>300</v>
      </c>
      <c r="D108" s="54">
        <v>14</v>
      </c>
      <c r="E108" s="54">
        <v>26</v>
      </c>
      <c r="F108" s="56">
        <f t="shared" si="10"/>
        <v>104.72</v>
      </c>
      <c r="G108" s="56">
        <f t="shared" si="11"/>
        <v>260.72000000000003</v>
      </c>
      <c r="H108" s="59">
        <f t="shared" si="12"/>
        <v>7995.4639999999999</v>
      </c>
      <c r="I108" s="59">
        <f t="shared" si="13"/>
        <v>282553.56906666677</v>
      </c>
      <c r="J108" s="59">
        <f t="shared" si="14"/>
        <v>32.920257607576019</v>
      </c>
      <c r="K108" s="61">
        <f t="shared" si="15"/>
        <v>11717.104266666667</v>
      </c>
      <c r="L108" s="61">
        <f t="shared" si="16"/>
        <v>6.7038297054480847</v>
      </c>
      <c r="M108" s="56">
        <v>207</v>
      </c>
      <c r="N108" s="56">
        <f t="shared" si="17"/>
        <v>7939.5520098189618</v>
      </c>
      <c r="O108" s="54"/>
    </row>
    <row r="109" spans="1:15" x14ac:dyDescent="0.25">
      <c r="A109" s="62" t="s">
        <v>570</v>
      </c>
      <c r="B109" s="54">
        <v>808</v>
      </c>
      <c r="C109" s="54">
        <v>302</v>
      </c>
      <c r="D109" s="54">
        <v>16</v>
      </c>
      <c r="E109" s="54">
        <v>30</v>
      </c>
      <c r="F109" s="56">
        <f t="shared" si="10"/>
        <v>119.68</v>
      </c>
      <c r="G109" s="56">
        <f t="shared" si="11"/>
        <v>300.88</v>
      </c>
      <c r="H109" s="59">
        <f t="shared" si="12"/>
        <v>9286.6959999999999</v>
      </c>
      <c r="I109" s="59">
        <f t="shared" si="13"/>
        <v>330130.75093333342</v>
      </c>
      <c r="J109" s="59">
        <f t="shared" si="14"/>
        <v>33.124271045108095</v>
      </c>
      <c r="K109" s="61">
        <f t="shared" si="15"/>
        <v>13797.335733333335</v>
      </c>
      <c r="L109" s="61">
        <f t="shared" si="16"/>
        <v>6.7717506155356428</v>
      </c>
      <c r="M109" s="56">
        <v>238</v>
      </c>
      <c r="N109" s="56">
        <f t="shared" si="17"/>
        <v>7910.130284498804</v>
      </c>
      <c r="O109" s="54"/>
    </row>
    <row r="110" spans="1:15" x14ac:dyDescent="0.25">
      <c r="A110" s="62" t="s">
        <v>571</v>
      </c>
      <c r="B110" s="54">
        <v>816</v>
      </c>
      <c r="C110" s="54">
        <v>306</v>
      </c>
      <c r="D110" s="54">
        <v>20</v>
      </c>
      <c r="E110" s="54">
        <v>34</v>
      </c>
      <c r="F110" s="56">
        <f t="shared" si="10"/>
        <v>149.6</v>
      </c>
      <c r="G110" s="56">
        <f t="shared" si="11"/>
        <v>357.68</v>
      </c>
      <c r="H110" s="59">
        <f t="shared" si="12"/>
        <v>10933.448</v>
      </c>
      <c r="I110" s="59">
        <f t="shared" si="13"/>
        <v>388066.73386666679</v>
      </c>
      <c r="J110" s="59">
        <f t="shared" si="14"/>
        <v>32.93865635363354</v>
      </c>
      <c r="K110" s="61">
        <f t="shared" si="15"/>
        <v>16286.349066666666</v>
      </c>
      <c r="L110" s="61">
        <f t="shared" si="16"/>
        <v>6.747836342896858</v>
      </c>
      <c r="M110" s="56">
        <v>283</v>
      </c>
      <c r="N110" s="56">
        <f t="shared" si="17"/>
        <v>7912.1002012972485</v>
      </c>
      <c r="O110" s="54"/>
    </row>
    <row r="111" spans="1:15" x14ac:dyDescent="0.25">
      <c r="O111" s="5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workbookViewId="0">
      <pane ySplit="1" topLeftCell="A59" activePane="bottomLeft" state="frozen"/>
      <selection pane="bottomLeft" activeCell="G2" sqref="G2"/>
    </sheetView>
  </sheetViews>
  <sheetFormatPr defaultRowHeight="16.5" x14ac:dyDescent="0.25"/>
  <cols>
    <col min="1" max="1" width="22.5" customWidth="1"/>
    <col min="6" max="6" width="15" customWidth="1"/>
    <col min="7" max="7" width="10.625" customWidth="1"/>
    <col min="8" max="8" width="12.125" customWidth="1"/>
    <col min="9" max="9" width="12.375" customWidth="1"/>
    <col min="10" max="10" width="15.125" customWidth="1"/>
  </cols>
  <sheetData>
    <row r="1" spans="1:11" ht="19.5" x14ac:dyDescent="0.25">
      <c r="A1" s="42" t="s">
        <v>712</v>
      </c>
      <c r="B1" s="42" t="s">
        <v>456</v>
      </c>
      <c r="C1" s="42" t="s">
        <v>457</v>
      </c>
      <c r="D1" s="42" t="s">
        <v>458</v>
      </c>
      <c r="E1" s="42" t="s">
        <v>459</v>
      </c>
      <c r="F1" s="42" t="s">
        <v>690</v>
      </c>
      <c r="G1" s="42" t="s">
        <v>691</v>
      </c>
      <c r="H1" s="42" t="s">
        <v>692</v>
      </c>
      <c r="I1" s="42" t="s">
        <v>460</v>
      </c>
      <c r="J1" s="42" t="s">
        <v>461</v>
      </c>
      <c r="K1" s="1"/>
    </row>
    <row r="2" spans="1:11" x14ac:dyDescent="0.25">
      <c r="A2" s="69" t="s">
        <v>609</v>
      </c>
      <c r="B2" s="2">
        <v>350</v>
      </c>
      <c r="C2" s="2">
        <v>350</v>
      </c>
      <c r="D2" s="2">
        <v>16</v>
      </c>
      <c r="E2" s="2">
        <v>16</v>
      </c>
      <c r="F2" s="2">
        <f t="shared" ref="F2:F33" si="0">(B2*C2-(B2-2*E2)*(C2-2*D2))/100</f>
        <v>213.76</v>
      </c>
      <c r="G2" s="63">
        <f t="shared" ref="G2:G33" si="1">(C2*B2/2*B2/4*2-(C2-2*D2)*(B2/2-E2)*(B2/2-E2)/2*2)/1000</f>
        <v>2679.3919999999998</v>
      </c>
      <c r="H2" s="63">
        <f t="shared" ref="H2:H33" si="2">(1/12*C2*B2^3-1/12*(C2-2*D2)*(B2-2*E2)^3)/10000</f>
        <v>39834.888533333324</v>
      </c>
      <c r="I2" s="68">
        <f>SQRT(H2/F2)</f>
        <v>13.651129379407893</v>
      </c>
      <c r="J2" s="2">
        <v>193</v>
      </c>
    </row>
    <row r="3" spans="1:11" x14ac:dyDescent="0.25">
      <c r="A3" s="69" t="s">
        <v>610</v>
      </c>
      <c r="B3" s="2">
        <v>400</v>
      </c>
      <c r="C3" s="2">
        <v>400</v>
      </c>
      <c r="D3" s="2">
        <v>16</v>
      </c>
      <c r="E3" s="2">
        <v>16</v>
      </c>
      <c r="F3" s="2">
        <f t="shared" si="0"/>
        <v>245.76</v>
      </c>
      <c r="G3" s="63">
        <f t="shared" si="1"/>
        <v>3540.9920000000002</v>
      </c>
      <c r="H3" s="63">
        <f t="shared" si="2"/>
        <v>60502.83519999998</v>
      </c>
      <c r="I3" s="68">
        <f>SQRT(H3/F3)</f>
        <v>15.69033672891269</v>
      </c>
      <c r="J3" s="2">
        <v>193</v>
      </c>
    </row>
    <row r="4" spans="1:11" x14ac:dyDescent="0.25">
      <c r="A4" s="69" t="s">
        <v>609</v>
      </c>
      <c r="B4" s="2">
        <v>350</v>
      </c>
      <c r="C4" s="2">
        <v>350</v>
      </c>
      <c r="D4" s="2">
        <v>16</v>
      </c>
      <c r="E4" s="2">
        <v>16</v>
      </c>
      <c r="F4" s="2">
        <f t="shared" si="0"/>
        <v>213.76</v>
      </c>
      <c r="G4" s="63">
        <f t="shared" si="1"/>
        <v>2679.3919999999998</v>
      </c>
      <c r="H4" s="63">
        <f t="shared" si="2"/>
        <v>39834.888533333324</v>
      </c>
      <c r="I4" s="68">
        <f>SQRT(H4/F4)</f>
        <v>13.651129379407893</v>
      </c>
      <c r="J4" s="2">
        <v>193</v>
      </c>
    </row>
    <row r="5" spans="1:11" x14ac:dyDescent="0.25">
      <c r="A5" s="69" t="s">
        <v>611</v>
      </c>
      <c r="B5" s="2">
        <v>400</v>
      </c>
      <c r="C5" s="2">
        <v>400</v>
      </c>
      <c r="D5" s="2">
        <v>22</v>
      </c>
      <c r="E5" s="2">
        <v>22</v>
      </c>
      <c r="F5" s="2">
        <f t="shared" si="0"/>
        <v>332.64</v>
      </c>
      <c r="G5" s="63">
        <f t="shared" si="1"/>
        <v>4720.4960000000001</v>
      </c>
      <c r="H5" s="63">
        <f t="shared" si="2"/>
        <v>79483.219199999978</v>
      </c>
      <c r="I5" s="68">
        <f t="shared" ref="I5:I68" si="3">SQRT(H5/F5)</f>
        <v>15.457899814226595</v>
      </c>
      <c r="J5" s="2">
        <v>261</v>
      </c>
    </row>
    <row r="6" spans="1:11" x14ac:dyDescent="0.25">
      <c r="A6" s="69" t="s">
        <v>612</v>
      </c>
      <c r="B6" s="2">
        <v>400</v>
      </c>
      <c r="C6" s="2">
        <v>400</v>
      </c>
      <c r="D6" s="2">
        <v>25</v>
      </c>
      <c r="E6" s="2">
        <v>25</v>
      </c>
      <c r="F6" s="2">
        <f t="shared" si="0"/>
        <v>375</v>
      </c>
      <c r="G6" s="63">
        <f t="shared" si="1"/>
        <v>5281.25</v>
      </c>
      <c r="H6" s="63">
        <f t="shared" si="2"/>
        <v>88281.249999999971</v>
      </c>
      <c r="I6" s="68">
        <f t="shared" si="3"/>
        <v>15.343293866268306</v>
      </c>
      <c r="J6" s="2">
        <v>294</v>
      </c>
    </row>
    <row r="7" spans="1:11" x14ac:dyDescent="0.25">
      <c r="A7" s="69" t="s">
        <v>613</v>
      </c>
      <c r="B7" s="2">
        <v>400</v>
      </c>
      <c r="C7" s="2">
        <v>400</v>
      </c>
      <c r="D7" s="2">
        <v>28</v>
      </c>
      <c r="E7" s="2">
        <v>28</v>
      </c>
      <c r="F7" s="2">
        <f t="shared" si="0"/>
        <v>416.64</v>
      </c>
      <c r="G7" s="63">
        <f t="shared" si="1"/>
        <v>5823.1040000000003</v>
      </c>
      <c r="H7" s="63">
        <f t="shared" si="2"/>
        <v>96638.259199999971</v>
      </c>
      <c r="I7" s="68">
        <f t="shared" si="3"/>
        <v>15.229795358660162</v>
      </c>
      <c r="J7" s="2">
        <v>327</v>
      </c>
    </row>
    <row r="8" spans="1:11" x14ac:dyDescent="0.25">
      <c r="A8" s="69" t="s">
        <v>614</v>
      </c>
      <c r="B8" s="2">
        <v>400</v>
      </c>
      <c r="C8" s="2">
        <v>400</v>
      </c>
      <c r="D8" s="2">
        <v>32</v>
      </c>
      <c r="E8" s="2">
        <v>32</v>
      </c>
      <c r="F8" s="2">
        <f t="shared" si="0"/>
        <v>471.04</v>
      </c>
      <c r="G8" s="63">
        <f t="shared" si="1"/>
        <v>6516.7359999999999</v>
      </c>
      <c r="H8" s="63">
        <f t="shared" si="2"/>
        <v>107120.77653333331</v>
      </c>
      <c r="I8" s="68">
        <f t="shared" si="3"/>
        <v>15.08022988330527</v>
      </c>
      <c r="J8" s="2">
        <v>370</v>
      </c>
    </row>
    <row r="9" spans="1:11" x14ac:dyDescent="0.25">
      <c r="A9" s="69" t="s">
        <v>615</v>
      </c>
      <c r="B9" s="2">
        <v>400</v>
      </c>
      <c r="C9" s="2">
        <v>400</v>
      </c>
      <c r="D9" s="2">
        <v>36</v>
      </c>
      <c r="E9" s="2">
        <v>36</v>
      </c>
      <c r="F9" s="2">
        <f t="shared" si="0"/>
        <v>524.16</v>
      </c>
      <c r="G9" s="63">
        <f t="shared" si="1"/>
        <v>7178.1120000000001</v>
      </c>
      <c r="H9" s="63">
        <f t="shared" si="2"/>
        <v>116880.69119999997</v>
      </c>
      <c r="I9" s="68">
        <f t="shared" si="3"/>
        <v>14.932738083374616</v>
      </c>
      <c r="J9" s="2">
        <v>411</v>
      </c>
    </row>
    <row r="10" spans="1:11" x14ac:dyDescent="0.25">
      <c r="A10" s="69" t="s">
        <v>616</v>
      </c>
      <c r="B10" s="2">
        <v>450</v>
      </c>
      <c r="C10" s="2">
        <v>450</v>
      </c>
      <c r="D10" s="2">
        <v>16</v>
      </c>
      <c r="E10" s="2">
        <v>16</v>
      </c>
      <c r="F10" s="2">
        <f t="shared" si="0"/>
        <v>277.76</v>
      </c>
      <c r="G10" s="63">
        <f t="shared" si="1"/>
        <v>4522.5919999999996</v>
      </c>
      <c r="H10" s="63">
        <f t="shared" si="2"/>
        <v>87314.781866666701</v>
      </c>
      <c r="I10" s="68">
        <f t="shared" si="3"/>
        <v>17.730012220337962</v>
      </c>
      <c r="J10" s="2">
        <v>218</v>
      </c>
    </row>
    <row r="11" spans="1:11" x14ac:dyDescent="0.25">
      <c r="A11" s="69" t="s">
        <v>617</v>
      </c>
      <c r="B11" s="2">
        <v>450</v>
      </c>
      <c r="C11" s="2">
        <v>450</v>
      </c>
      <c r="D11" s="2">
        <v>19</v>
      </c>
      <c r="E11" s="2">
        <v>19</v>
      </c>
      <c r="F11" s="2">
        <f t="shared" si="0"/>
        <v>327.56</v>
      </c>
      <c r="G11" s="63">
        <f t="shared" si="1"/>
        <v>5297.6180000000004</v>
      </c>
      <c r="H11" s="63">
        <f t="shared" si="2"/>
        <v>101610.20386666669</v>
      </c>
      <c r="I11" s="68">
        <f t="shared" si="3"/>
        <v>17.61259019376007</v>
      </c>
      <c r="J11" s="2">
        <v>257</v>
      </c>
    </row>
    <row r="12" spans="1:11" x14ac:dyDescent="0.25">
      <c r="A12" s="69" t="s">
        <v>618</v>
      </c>
      <c r="B12" s="2">
        <v>450</v>
      </c>
      <c r="C12" s="2">
        <v>450</v>
      </c>
      <c r="D12" s="2">
        <v>22</v>
      </c>
      <c r="E12" s="2">
        <v>22</v>
      </c>
      <c r="F12" s="2">
        <f t="shared" si="0"/>
        <v>376.64</v>
      </c>
      <c r="G12" s="63">
        <f t="shared" si="1"/>
        <v>6050.3959999999997</v>
      </c>
      <c r="H12" s="63">
        <f t="shared" si="2"/>
        <v>115294.52586666669</v>
      </c>
      <c r="I12" s="68">
        <f t="shared" si="3"/>
        <v>17.496094802364709</v>
      </c>
      <c r="J12" s="2">
        <v>296</v>
      </c>
    </row>
    <row r="13" spans="1:11" x14ac:dyDescent="0.25">
      <c r="A13" s="69" t="s">
        <v>619</v>
      </c>
      <c r="B13" s="2">
        <v>450</v>
      </c>
      <c r="C13" s="2">
        <v>450</v>
      </c>
      <c r="D13" s="2">
        <v>25</v>
      </c>
      <c r="E13" s="2">
        <v>25</v>
      </c>
      <c r="F13" s="2">
        <f t="shared" si="0"/>
        <v>425</v>
      </c>
      <c r="G13" s="63">
        <f t="shared" si="1"/>
        <v>6781.25</v>
      </c>
      <c r="H13" s="63">
        <f t="shared" si="2"/>
        <v>128385.4166666667</v>
      </c>
      <c r="I13" s="68">
        <f t="shared" si="3"/>
        <v>17.38054467884518</v>
      </c>
      <c r="J13" s="2">
        <v>334</v>
      </c>
    </row>
    <row r="14" spans="1:11" x14ac:dyDescent="0.25">
      <c r="A14" s="69" t="s">
        <v>620</v>
      </c>
      <c r="B14" s="2">
        <v>450</v>
      </c>
      <c r="C14" s="2">
        <v>450</v>
      </c>
      <c r="D14" s="2">
        <v>28</v>
      </c>
      <c r="E14" s="2">
        <v>28</v>
      </c>
      <c r="F14" s="2">
        <f t="shared" si="0"/>
        <v>472.64</v>
      </c>
      <c r="G14" s="63">
        <f t="shared" si="1"/>
        <v>7490.5039999999999</v>
      </c>
      <c r="H14" s="63">
        <f t="shared" si="2"/>
        <v>140900.2858666667</v>
      </c>
      <c r="I14" s="68">
        <f t="shared" si="3"/>
        <v>17.265958801448978</v>
      </c>
      <c r="J14" s="2">
        <v>371</v>
      </c>
    </row>
    <row r="15" spans="1:11" x14ac:dyDescent="0.25">
      <c r="A15" s="69" t="s">
        <v>621</v>
      </c>
      <c r="B15" s="2">
        <v>450</v>
      </c>
      <c r="C15" s="2">
        <v>450</v>
      </c>
      <c r="D15" s="2">
        <v>32</v>
      </c>
      <c r="E15" s="2">
        <v>32</v>
      </c>
      <c r="F15" s="2">
        <f t="shared" si="0"/>
        <v>535.04</v>
      </c>
      <c r="G15" s="63">
        <f t="shared" si="1"/>
        <v>8403.1360000000004</v>
      </c>
      <c r="H15" s="63">
        <f t="shared" si="2"/>
        <v>156720.34986666669</v>
      </c>
      <c r="I15" s="68">
        <f t="shared" si="3"/>
        <v>17.114711021029056</v>
      </c>
      <c r="J15" s="2">
        <v>420</v>
      </c>
    </row>
    <row r="16" spans="1:11" x14ac:dyDescent="0.25">
      <c r="A16" s="69" t="s">
        <v>622</v>
      </c>
      <c r="B16" s="2">
        <v>450</v>
      </c>
      <c r="C16" s="2">
        <v>450</v>
      </c>
      <c r="D16" s="2">
        <v>36</v>
      </c>
      <c r="E16" s="2">
        <v>36</v>
      </c>
      <c r="F16" s="2">
        <f t="shared" si="0"/>
        <v>596.16</v>
      </c>
      <c r="G16" s="63">
        <f t="shared" si="1"/>
        <v>9278.7119999999995</v>
      </c>
      <c r="H16" s="63">
        <f t="shared" si="2"/>
        <v>171586.77119999999</v>
      </c>
      <c r="I16" s="68">
        <f t="shared" si="3"/>
        <v>16.96525861871843</v>
      </c>
      <c r="J16" s="2">
        <v>468</v>
      </c>
    </row>
    <row r="17" spans="1:10" x14ac:dyDescent="0.25">
      <c r="A17" s="69" t="s">
        <v>623</v>
      </c>
      <c r="B17" s="2">
        <v>500</v>
      </c>
      <c r="C17" s="2">
        <v>500</v>
      </c>
      <c r="D17" s="2">
        <v>19</v>
      </c>
      <c r="E17" s="2">
        <v>19</v>
      </c>
      <c r="F17" s="2">
        <f t="shared" si="0"/>
        <v>365.56</v>
      </c>
      <c r="G17" s="63">
        <f t="shared" si="1"/>
        <v>6597.2179999999998</v>
      </c>
      <c r="H17" s="63">
        <f t="shared" si="2"/>
        <v>141180.4905333333</v>
      </c>
      <c r="I17" s="68">
        <f t="shared" si="3"/>
        <v>19.652056720184106</v>
      </c>
      <c r="J17" s="2">
        <v>287</v>
      </c>
    </row>
    <row r="18" spans="1:10" x14ac:dyDescent="0.25">
      <c r="A18" s="69" t="s">
        <v>624</v>
      </c>
      <c r="B18" s="2">
        <v>500</v>
      </c>
      <c r="C18" s="2">
        <v>500</v>
      </c>
      <c r="D18" s="2">
        <v>22</v>
      </c>
      <c r="E18" s="2">
        <v>22</v>
      </c>
      <c r="F18" s="2">
        <f t="shared" si="0"/>
        <v>420.64</v>
      </c>
      <c r="G18" s="63">
        <f t="shared" si="1"/>
        <v>7545.2960000000003</v>
      </c>
      <c r="H18" s="63">
        <f t="shared" si="2"/>
        <v>160521.83253333331</v>
      </c>
      <c r="I18" s="68">
        <f t="shared" si="3"/>
        <v>19.534925987403518</v>
      </c>
      <c r="J18" s="2">
        <v>330</v>
      </c>
    </row>
    <row r="19" spans="1:10" x14ac:dyDescent="0.25">
      <c r="A19" s="69" t="s">
        <v>625</v>
      </c>
      <c r="B19" s="2">
        <v>500</v>
      </c>
      <c r="C19" s="2">
        <v>500</v>
      </c>
      <c r="D19" s="2">
        <v>25</v>
      </c>
      <c r="E19" s="2">
        <v>25</v>
      </c>
      <c r="F19" s="2">
        <f t="shared" si="0"/>
        <v>475</v>
      </c>
      <c r="G19" s="63">
        <f t="shared" si="1"/>
        <v>8468.75</v>
      </c>
      <c r="H19" s="63">
        <f t="shared" si="2"/>
        <v>179114.58333333331</v>
      </c>
      <c r="I19" s="68">
        <f t="shared" si="3"/>
        <v>19.418633662885071</v>
      </c>
      <c r="J19" s="2">
        <v>373</v>
      </c>
    </row>
    <row r="20" spans="1:10" x14ac:dyDescent="0.25">
      <c r="A20" s="69" t="s">
        <v>626</v>
      </c>
      <c r="B20" s="2">
        <v>500</v>
      </c>
      <c r="C20" s="2">
        <v>500</v>
      </c>
      <c r="D20" s="2">
        <v>28</v>
      </c>
      <c r="E20" s="2">
        <v>28</v>
      </c>
      <c r="F20" s="2">
        <f t="shared" si="0"/>
        <v>528.64</v>
      </c>
      <c r="G20" s="63">
        <f t="shared" si="1"/>
        <v>9367.9040000000005</v>
      </c>
      <c r="H20" s="63">
        <f t="shared" si="2"/>
        <v>196978.31253333332</v>
      </c>
      <c r="I20" s="68">
        <f t="shared" si="3"/>
        <v>19.303194899636001</v>
      </c>
      <c r="J20" s="2">
        <v>415</v>
      </c>
    </row>
    <row r="21" spans="1:10" x14ac:dyDescent="0.25">
      <c r="A21" s="69" t="s">
        <v>627</v>
      </c>
      <c r="B21" s="2">
        <v>500</v>
      </c>
      <c r="C21" s="2">
        <v>500</v>
      </c>
      <c r="D21" s="2">
        <v>32</v>
      </c>
      <c r="E21" s="2">
        <v>32</v>
      </c>
      <c r="F21" s="2">
        <f t="shared" si="0"/>
        <v>599.04</v>
      </c>
      <c r="G21" s="63">
        <f t="shared" si="1"/>
        <v>10529.536</v>
      </c>
      <c r="H21" s="63">
        <f t="shared" si="2"/>
        <v>219695.92319999999</v>
      </c>
      <c r="I21" s="68">
        <f t="shared" si="3"/>
        <v>19.150630973068921</v>
      </c>
      <c r="J21" s="2">
        <v>470</v>
      </c>
    </row>
    <row r="22" spans="1:10" x14ac:dyDescent="0.25">
      <c r="A22" s="69" t="s">
        <v>628</v>
      </c>
      <c r="B22" s="2">
        <v>500</v>
      </c>
      <c r="C22" s="2">
        <v>500</v>
      </c>
      <c r="D22" s="2">
        <v>36</v>
      </c>
      <c r="E22" s="2">
        <v>36</v>
      </c>
      <c r="F22" s="2">
        <f t="shared" si="0"/>
        <v>668.16</v>
      </c>
      <c r="G22" s="63">
        <f t="shared" si="1"/>
        <v>11649.312</v>
      </c>
      <c r="H22" s="63">
        <f t="shared" si="2"/>
        <v>241196.8512</v>
      </c>
      <c r="I22" s="68">
        <f t="shared" si="3"/>
        <v>18.999649119567096</v>
      </c>
      <c r="J22" s="2">
        <v>524</v>
      </c>
    </row>
    <row r="23" spans="1:10" x14ac:dyDescent="0.25">
      <c r="A23" s="69" t="s">
        <v>629</v>
      </c>
      <c r="B23" s="2">
        <v>500</v>
      </c>
      <c r="C23" s="2">
        <v>500</v>
      </c>
      <c r="D23" s="2">
        <v>40</v>
      </c>
      <c r="E23" s="2">
        <v>40</v>
      </c>
      <c r="F23" s="2">
        <f t="shared" si="0"/>
        <v>736</v>
      </c>
      <c r="G23" s="63">
        <f t="shared" si="1"/>
        <v>12728</v>
      </c>
      <c r="H23" s="63">
        <f t="shared" si="2"/>
        <v>261525.33333333331</v>
      </c>
      <c r="I23" s="68">
        <f t="shared" si="3"/>
        <v>18.850287354131588</v>
      </c>
      <c r="J23" s="2">
        <v>578</v>
      </c>
    </row>
    <row r="24" spans="1:10" x14ac:dyDescent="0.25">
      <c r="A24" s="69" t="s">
        <v>630</v>
      </c>
      <c r="B24" s="2">
        <v>550</v>
      </c>
      <c r="C24" s="2">
        <v>550</v>
      </c>
      <c r="D24" s="2">
        <v>19</v>
      </c>
      <c r="E24" s="2">
        <v>19</v>
      </c>
      <c r="F24" s="2">
        <f t="shared" si="0"/>
        <v>403.56</v>
      </c>
      <c r="G24" s="63">
        <f t="shared" si="1"/>
        <v>8039.3180000000002</v>
      </c>
      <c r="H24" s="63">
        <f t="shared" si="2"/>
        <v>189889.77720000001</v>
      </c>
      <c r="I24" s="68">
        <f t="shared" si="3"/>
        <v>21.691857151167731</v>
      </c>
      <c r="J24" s="2">
        <v>317</v>
      </c>
    </row>
    <row r="25" spans="1:10" x14ac:dyDescent="0.25">
      <c r="A25" s="69" t="s">
        <v>631</v>
      </c>
      <c r="B25" s="2">
        <v>550</v>
      </c>
      <c r="C25" s="2">
        <v>550</v>
      </c>
      <c r="D25" s="2">
        <v>22</v>
      </c>
      <c r="E25" s="2">
        <v>22</v>
      </c>
      <c r="F25" s="2">
        <f t="shared" si="0"/>
        <v>464.64</v>
      </c>
      <c r="G25" s="63">
        <f t="shared" si="1"/>
        <v>9205.1959999999999</v>
      </c>
      <c r="H25" s="63">
        <f t="shared" si="2"/>
        <v>216265.13920000001</v>
      </c>
      <c r="I25" s="68">
        <f t="shared" si="3"/>
        <v>21.574213002254954</v>
      </c>
      <c r="J25" s="2">
        <v>365</v>
      </c>
    </row>
    <row r="26" spans="1:10" x14ac:dyDescent="0.25">
      <c r="A26" s="69" t="s">
        <v>632</v>
      </c>
      <c r="B26" s="2">
        <v>550</v>
      </c>
      <c r="C26" s="2">
        <v>550</v>
      </c>
      <c r="D26" s="2">
        <v>25</v>
      </c>
      <c r="E26" s="2">
        <v>25</v>
      </c>
      <c r="F26" s="2">
        <f t="shared" si="0"/>
        <v>525</v>
      </c>
      <c r="G26" s="63">
        <f t="shared" si="1"/>
        <v>10343.75</v>
      </c>
      <c r="H26" s="63">
        <f t="shared" si="2"/>
        <v>241718.75</v>
      </c>
      <c r="I26" s="68">
        <f t="shared" si="3"/>
        <v>21.457321982639556</v>
      </c>
      <c r="J26" s="2">
        <v>412</v>
      </c>
    </row>
    <row r="27" spans="1:10" x14ac:dyDescent="0.25">
      <c r="A27" s="69" t="s">
        <v>633</v>
      </c>
      <c r="B27" s="2">
        <v>550</v>
      </c>
      <c r="C27" s="2">
        <v>550</v>
      </c>
      <c r="D27" s="2">
        <v>28</v>
      </c>
      <c r="E27" s="2">
        <v>28</v>
      </c>
      <c r="F27" s="2">
        <f t="shared" si="0"/>
        <v>584.64</v>
      </c>
      <c r="G27" s="63">
        <f t="shared" si="1"/>
        <v>11455.304</v>
      </c>
      <c r="H27" s="63">
        <f t="shared" si="2"/>
        <v>266272.33919999999</v>
      </c>
      <c r="I27" s="68">
        <f t="shared" si="3"/>
        <v>21.341196467552297</v>
      </c>
      <c r="J27" s="2">
        <v>459</v>
      </c>
    </row>
    <row r="28" spans="1:10" x14ac:dyDescent="0.25">
      <c r="A28" s="69" t="s">
        <v>634</v>
      </c>
      <c r="B28" s="2">
        <v>550</v>
      </c>
      <c r="C28" s="2">
        <v>550</v>
      </c>
      <c r="D28" s="2">
        <v>32</v>
      </c>
      <c r="E28" s="2">
        <v>32</v>
      </c>
      <c r="F28" s="2">
        <f t="shared" si="0"/>
        <v>663.04</v>
      </c>
      <c r="G28" s="63">
        <f t="shared" si="1"/>
        <v>12895.936</v>
      </c>
      <c r="H28" s="63">
        <f t="shared" si="2"/>
        <v>297647.49653333332</v>
      </c>
      <c r="I28" s="68">
        <f t="shared" si="3"/>
        <v>21.187574975285241</v>
      </c>
      <c r="J28" s="2">
        <v>520</v>
      </c>
    </row>
    <row r="29" spans="1:10" x14ac:dyDescent="0.25">
      <c r="A29" s="69" t="s">
        <v>635</v>
      </c>
      <c r="B29" s="2">
        <v>550</v>
      </c>
      <c r="C29" s="2">
        <v>550</v>
      </c>
      <c r="D29" s="2">
        <v>36</v>
      </c>
      <c r="E29" s="2">
        <v>36</v>
      </c>
      <c r="F29" s="2">
        <f t="shared" si="0"/>
        <v>740.16</v>
      </c>
      <c r="G29" s="63">
        <f t="shared" si="1"/>
        <v>14289.912</v>
      </c>
      <c r="H29" s="63">
        <f t="shared" si="2"/>
        <v>327510.93119999999</v>
      </c>
      <c r="I29" s="68">
        <f t="shared" si="3"/>
        <v>21.035367043782873</v>
      </c>
      <c r="J29" s="2">
        <v>581</v>
      </c>
    </row>
    <row r="30" spans="1:10" x14ac:dyDescent="0.25">
      <c r="A30" s="69" t="s">
        <v>636</v>
      </c>
      <c r="B30" s="2">
        <v>550</v>
      </c>
      <c r="C30" s="2">
        <v>550</v>
      </c>
      <c r="D30" s="2">
        <v>40</v>
      </c>
      <c r="E30" s="2">
        <v>40</v>
      </c>
      <c r="F30" s="2">
        <f t="shared" si="0"/>
        <v>816</v>
      </c>
      <c r="G30" s="63">
        <f t="shared" si="1"/>
        <v>15638</v>
      </c>
      <c r="H30" s="63">
        <f t="shared" si="2"/>
        <v>355912</v>
      </c>
      <c r="I30" s="68">
        <f t="shared" si="3"/>
        <v>20.884603579351623</v>
      </c>
      <c r="J30" s="2">
        <v>640</v>
      </c>
    </row>
    <row r="31" spans="1:10" x14ac:dyDescent="0.25">
      <c r="A31" s="69" t="s">
        <v>637</v>
      </c>
      <c r="B31" s="2">
        <v>600</v>
      </c>
      <c r="C31" s="2">
        <v>600</v>
      </c>
      <c r="D31" s="2">
        <v>22</v>
      </c>
      <c r="E31" s="2">
        <v>22</v>
      </c>
      <c r="F31" s="2">
        <f t="shared" si="0"/>
        <v>508.64</v>
      </c>
      <c r="G31" s="63">
        <f t="shared" si="1"/>
        <v>11030.096</v>
      </c>
      <c r="H31" s="63">
        <f t="shared" si="2"/>
        <v>283624.44586666679</v>
      </c>
      <c r="I31" s="68">
        <f t="shared" si="3"/>
        <v>23.613837751058881</v>
      </c>
      <c r="J31" s="2">
        <v>399</v>
      </c>
    </row>
    <row r="32" spans="1:10" x14ac:dyDescent="0.25">
      <c r="A32" s="69" t="s">
        <v>638</v>
      </c>
      <c r="B32" s="2">
        <v>600</v>
      </c>
      <c r="C32" s="2">
        <v>600</v>
      </c>
      <c r="D32" s="2">
        <v>25</v>
      </c>
      <c r="E32" s="2">
        <v>25</v>
      </c>
      <c r="F32" s="2">
        <f t="shared" si="0"/>
        <v>575</v>
      </c>
      <c r="G32" s="63">
        <f t="shared" si="1"/>
        <v>12406.25</v>
      </c>
      <c r="H32" s="63">
        <f t="shared" si="2"/>
        <v>317447.91666666669</v>
      </c>
      <c r="I32" s="68">
        <f t="shared" si="3"/>
        <v>23.496453633119476</v>
      </c>
      <c r="J32" s="2">
        <v>451</v>
      </c>
    </row>
    <row r="33" spans="1:10" x14ac:dyDescent="0.25">
      <c r="A33" s="69" t="s">
        <v>639</v>
      </c>
      <c r="B33" s="2">
        <v>600</v>
      </c>
      <c r="C33" s="2">
        <v>600</v>
      </c>
      <c r="D33" s="2">
        <v>28</v>
      </c>
      <c r="E33" s="2">
        <v>28</v>
      </c>
      <c r="F33" s="2">
        <f t="shared" si="0"/>
        <v>640.64</v>
      </c>
      <c r="G33" s="63">
        <f t="shared" si="1"/>
        <v>13752.704</v>
      </c>
      <c r="H33" s="63">
        <f t="shared" si="2"/>
        <v>350182.36586666672</v>
      </c>
      <c r="I33" s="68">
        <f t="shared" si="3"/>
        <v>23.379763329284014</v>
      </c>
      <c r="J33" s="2">
        <v>503</v>
      </c>
    </row>
    <row r="34" spans="1:10" x14ac:dyDescent="0.25">
      <c r="A34" s="69" t="s">
        <v>640</v>
      </c>
      <c r="B34" s="2">
        <v>600</v>
      </c>
      <c r="C34" s="2">
        <v>600</v>
      </c>
      <c r="D34" s="2">
        <v>32</v>
      </c>
      <c r="E34" s="2">
        <v>32</v>
      </c>
      <c r="F34" s="2">
        <f t="shared" ref="F34:F65" si="4">(B34*C34-(B34-2*E34)*(C34-2*D34))/100</f>
        <v>727.04</v>
      </c>
      <c r="G34" s="63">
        <f t="shared" ref="G34:G65" si="5">(C34*B34/2*B34/4*2-(C34-2*D34)*(B34/2-E34)*(B34/2-E34)/2*2)/1000</f>
        <v>15502.335999999999</v>
      </c>
      <c r="H34" s="63">
        <f t="shared" ref="H34:H65" si="6">(1/12*C34*B34^3-1/12*(C34-2*D34)*(B34-2*E34)^3)/10000</f>
        <v>392175.06986666669</v>
      </c>
      <c r="I34" s="68">
        <f t="shared" si="3"/>
        <v>23.225273590064194</v>
      </c>
      <c r="J34" s="2">
        <v>571</v>
      </c>
    </row>
    <row r="35" spans="1:10" x14ac:dyDescent="0.25">
      <c r="A35" s="69" t="s">
        <v>641</v>
      </c>
      <c r="B35" s="2">
        <v>600</v>
      </c>
      <c r="C35" s="2">
        <v>600</v>
      </c>
      <c r="D35" s="2">
        <v>36</v>
      </c>
      <c r="E35" s="2">
        <v>36</v>
      </c>
      <c r="F35" s="2">
        <f t="shared" si="4"/>
        <v>812.16</v>
      </c>
      <c r="G35" s="63">
        <f t="shared" si="5"/>
        <v>17200.511999999999</v>
      </c>
      <c r="H35" s="63">
        <f t="shared" si="6"/>
        <v>432329.01120000001</v>
      </c>
      <c r="I35" s="68">
        <f t="shared" si="3"/>
        <v>23.07206102627158</v>
      </c>
      <c r="J35" s="2">
        <v>637</v>
      </c>
    </row>
    <row r="36" spans="1:10" x14ac:dyDescent="0.25">
      <c r="A36" s="69" t="s">
        <v>642</v>
      </c>
      <c r="B36" s="2">
        <v>600</v>
      </c>
      <c r="C36" s="2">
        <v>600</v>
      </c>
      <c r="D36" s="2">
        <v>40</v>
      </c>
      <c r="E36" s="2">
        <v>40</v>
      </c>
      <c r="F36" s="2">
        <f t="shared" si="4"/>
        <v>896</v>
      </c>
      <c r="G36" s="63">
        <f t="shared" si="5"/>
        <v>18848</v>
      </c>
      <c r="H36" s="63">
        <f t="shared" si="6"/>
        <v>470698.66666666669</v>
      </c>
      <c r="I36" s="68">
        <f t="shared" si="3"/>
        <v>22.920151250228113</v>
      </c>
      <c r="J36" s="2">
        <v>703</v>
      </c>
    </row>
    <row r="37" spans="1:10" x14ac:dyDescent="0.25">
      <c r="A37" s="69" t="s">
        <v>643</v>
      </c>
      <c r="B37" s="2">
        <v>600</v>
      </c>
      <c r="C37" s="2">
        <v>600</v>
      </c>
      <c r="D37" s="2">
        <v>45</v>
      </c>
      <c r="E37" s="2">
        <v>45</v>
      </c>
      <c r="F37" s="2">
        <f t="shared" si="4"/>
        <v>999</v>
      </c>
      <c r="G37" s="63">
        <f t="shared" si="5"/>
        <v>20837.25</v>
      </c>
      <c r="H37" s="63">
        <f t="shared" si="6"/>
        <v>516233.25</v>
      </c>
      <c r="I37" s="68">
        <f t="shared" si="3"/>
        <v>22.732135843338611</v>
      </c>
      <c r="J37" s="2">
        <v>784</v>
      </c>
    </row>
    <row r="38" spans="1:10" x14ac:dyDescent="0.25">
      <c r="A38" s="69" t="s">
        <v>644</v>
      </c>
      <c r="B38" s="2">
        <v>600</v>
      </c>
      <c r="C38" s="2">
        <v>600</v>
      </c>
      <c r="D38" s="2">
        <v>50</v>
      </c>
      <c r="E38" s="2">
        <v>50</v>
      </c>
      <c r="F38" s="2">
        <f t="shared" si="4"/>
        <v>1100</v>
      </c>
      <c r="G38" s="63">
        <f t="shared" si="5"/>
        <v>22750</v>
      </c>
      <c r="H38" s="63">
        <f t="shared" si="6"/>
        <v>559166.66666666674</v>
      </c>
      <c r="I38" s="68">
        <f t="shared" si="3"/>
        <v>22.546248764114473</v>
      </c>
      <c r="J38" s="2">
        <v>863</v>
      </c>
    </row>
    <row r="39" spans="1:10" x14ac:dyDescent="0.25">
      <c r="A39" s="69" t="s">
        <v>645</v>
      </c>
      <c r="B39" s="2">
        <v>650</v>
      </c>
      <c r="C39" s="2">
        <v>650</v>
      </c>
      <c r="D39" s="2">
        <v>22</v>
      </c>
      <c r="E39" s="2">
        <v>22</v>
      </c>
      <c r="F39" s="2">
        <f t="shared" si="4"/>
        <v>552.64</v>
      </c>
      <c r="G39" s="63">
        <f t="shared" si="5"/>
        <v>13019.995999999999</v>
      </c>
      <c r="H39" s="63">
        <f t="shared" si="6"/>
        <v>363699.7525333332</v>
      </c>
      <c r="I39" s="68">
        <f t="shared" si="3"/>
        <v>25.653719678310456</v>
      </c>
      <c r="J39" s="2">
        <v>434</v>
      </c>
    </row>
    <row r="40" spans="1:10" x14ac:dyDescent="0.25">
      <c r="A40" s="69" t="s">
        <v>646</v>
      </c>
      <c r="B40" s="2">
        <v>650</v>
      </c>
      <c r="C40" s="2">
        <v>650</v>
      </c>
      <c r="D40" s="2">
        <v>25</v>
      </c>
      <c r="E40" s="2">
        <v>25</v>
      </c>
      <c r="F40" s="2">
        <f t="shared" si="4"/>
        <v>625</v>
      </c>
      <c r="G40" s="63">
        <f t="shared" si="5"/>
        <v>14656.25</v>
      </c>
      <c r="H40" s="63">
        <f t="shared" si="6"/>
        <v>407552.0833333332</v>
      </c>
      <c r="I40" s="68">
        <f t="shared" si="3"/>
        <v>25.535922410074267</v>
      </c>
      <c r="J40" s="2">
        <v>491</v>
      </c>
    </row>
    <row r="41" spans="1:10" x14ac:dyDescent="0.25">
      <c r="A41" s="69" t="s">
        <v>647</v>
      </c>
      <c r="B41" s="2">
        <v>650</v>
      </c>
      <c r="C41" s="2">
        <v>650</v>
      </c>
      <c r="D41" s="2">
        <v>28</v>
      </c>
      <c r="E41" s="2">
        <v>28</v>
      </c>
      <c r="F41" s="2">
        <f t="shared" si="4"/>
        <v>696.64</v>
      </c>
      <c r="G41" s="63">
        <f t="shared" si="5"/>
        <v>16260.103999999999</v>
      </c>
      <c r="H41" s="63">
        <f t="shared" si="6"/>
        <v>450108.39253333322</v>
      </c>
      <c r="I41" s="68">
        <f t="shared" si="3"/>
        <v>25.418759476680471</v>
      </c>
      <c r="J41" s="2">
        <v>547</v>
      </c>
    </row>
    <row r="42" spans="1:10" x14ac:dyDescent="0.25">
      <c r="A42" s="69" t="s">
        <v>648</v>
      </c>
      <c r="B42" s="2">
        <v>650</v>
      </c>
      <c r="C42" s="2">
        <v>650</v>
      </c>
      <c r="D42" s="2">
        <v>32</v>
      </c>
      <c r="E42" s="2">
        <v>32</v>
      </c>
      <c r="F42" s="2">
        <f t="shared" si="4"/>
        <v>791.04</v>
      </c>
      <c r="G42" s="63">
        <f t="shared" si="5"/>
        <v>18348.736000000001</v>
      </c>
      <c r="H42" s="63">
        <f t="shared" si="6"/>
        <v>504878.64319999999</v>
      </c>
      <c r="I42" s="68">
        <f t="shared" si="3"/>
        <v>25.263544222192316</v>
      </c>
      <c r="J42" s="2">
        <v>621</v>
      </c>
    </row>
    <row r="43" spans="1:10" x14ac:dyDescent="0.25">
      <c r="A43" s="69" t="s">
        <v>649</v>
      </c>
      <c r="B43" s="2">
        <v>650</v>
      </c>
      <c r="C43" s="2">
        <v>650</v>
      </c>
      <c r="D43" s="2">
        <v>36</v>
      </c>
      <c r="E43" s="2">
        <v>36</v>
      </c>
      <c r="F43" s="2">
        <f t="shared" si="4"/>
        <v>884.16</v>
      </c>
      <c r="G43" s="63">
        <f t="shared" si="5"/>
        <v>20381.112000000001</v>
      </c>
      <c r="H43" s="63">
        <f t="shared" si="6"/>
        <v>557451.09120000002</v>
      </c>
      <c r="I43" s="68">
        <f t="shared" si="3"/>
        <v>25.109493556554792</v>
      </c>
      <c r="J43" s="2">
        <v>694</v>
      </c>
    </row>
    <row r="44" spans="1:10" x14ac:dyDescent="0.25">
      <c r="A44" s="69" t="s">
        <v>650</v>
      </c>
      <c r="B44" s="2">
        <v>650</v>
      </c>
      <c r="C44" s="2">
        <v>650</v>
      </c>
      <c r="D44" s="2">
        <v>40</v>
      </c>
      <c r="E44" s="2">
        <v>40</v>
      </c>
      <c r="F44" s="2">
        <f t="shared" si="4"/>
        <v>976</v>
      </c>
      <c r="G44" s="63">
        <f t="shared" si="5"/>
        <v>22358</v>
      </c>
      <c r="H44" s="63">
        <f t="shared" si="6"/>
        <v>607885.33333333326</v>
      </c>
      <c r="I44" s="68">
        <f t="shared" si="3"/>
        <v>24.956629045873427</v>
      </c>
      <c r="J44" s="2">
        <v>766</v>
      </c>
    </row>
    <row r="45" spans="1:10" x14ac:dyDescent="0.25">
      <c r="A45" s="69" t="s">
        <v>651</v>
      </c>
      <c r="B45" s="2">
        <v>650</v>
      </c>
      <c r="C45" s="2">
        <v>650</v>
      </c>
      <c r="D45" s="2">
        <v>45</v>
      </c>
      <c r="E45" s="2">
        <v>45</v>
      </c>
      <c r="F45" s="2">
        <f t="shared" si="4"/>
        <v>1089</v>
      </c>
      <c r="G45" s="63">
        <f t="shared" si="5"/>
        <v>24752.25</v>
      </c>
      <c r="H45" s="63">
        <f t="shared" si="6"/>
        <v>668010.74999999988</v>
      </c>
      <c r="I45" s="68">
        <f t="shared" si="3"/>
        <v>24.767249880975211</v>
      </c>
      <c r="J45" s="2">
        <v>855</v>
      </c>
    </row>
    <row r="46" spans="1:10" x14ac:dyDescent="0.25">
      <c r="A46" s="69" t="s">
        <v>652</v>
      </c>
      <c r="B46" s="2">
        <v>650</v>
      </c>
      <c r="C46" s="2">
        <v>650</v>
      </c>
      <c r="D46" s="2">
        <v>50</v>
      </c>
      <c r="E46" s="2">
        <v>50</v>
      </c>
      <c r="F46" s="2">
        <f t="shared" si="4"/>
        <v>1200</v>
      </c>
      <c r="G46" s="63">
        <f t="shared" si="5"/>
        <v>27062.5</v>
      </c>
      <c r="H46" s="63">
        <f t="shared" si="6"/>
        <v>724999.99999999988</v>
      </c>
      <c r="I46" s="68">
        <f t="shared" si="3"/>
        <v>24.579802006254372</v>
      </c>
      <c r="J46" s="2">
        <v>942</v>
      </c>
    </row>
    <row r="47" spans="1:10" x14ac:dyDescent="0.25">
      <c r="A47" s="69" t="s">
        <v>653</v>
      </c>
      <c r="B47" s="2">
        <v>700</v>
      </c>
      <c r="C47" s="2">
        <v>700</v>
      </c>
      <c r="D47" s="2">
        <v>22</v>
      </c>
      <c r="E47" s="2">
        <v>22</v>
      </c>
      <c r="F47" s="2">
        <f t="shared" si="4"/>
        <v>596.64</v>
      </c>
      <c r="G47" s="63">
        <f t="shared" si="5"/>
        <v>15174.896000000001</v>
      </c>
      <c r="H47" s="63">
        <f t="shared" si="6"/>
        <v>457591.05920000002</v>
      </c>
      <c r="I47" s="68">
        <f t="shared" si="3"/>
        <v>27.693801953987226</v>
      </c>
      <c r="J47" s="2">
        <v>468</v>
      </c>
    </row>
    <row r="48" spans="1:10" x14ac:dyDescent="0.25">
      <c r="A48" s="69" t="s">
        <v>654</v>
      </c>
      <c r="B48" s="2">
        <v>700</v>
      </c>
      <c r="C48" s="2">
        <v>700</v>
      </c>
      <c r="D48" s="2">
        <v>25</v>
      </c>
      <c r="E48" s="2">
        <v>25</v>
      </c>
      <c r="F48" s="2">
        <f t="shared" si="4"/>
        <v>675</v>
      </c>
      <c r="G48" s="63">
        <f t="shared" si="5"/>
        <v>17093.75</v>
      </c>
      <c r="H48" s="63">
        <f t="shared" si="6"/>
        <v>513281.25</v>
      </c>
      <c r="I48" s="68">
        <f t="shared" si="3"/>
        <v>27.57565351295716</v>
      </c>
      <c r="J48" s="2">
        <v>530</v>
      </c>
    </row>
    <row r="49" spans="1:10" x14ac:dyDescent="0.25">
      <c r="A49" s="69" t="s">
        <v>655</v>
      </c>
      <c r="B49" s="2">
        <v>700</v>
      </c>
      <c r="C49" s="2">
        <v>700</v>
      </c>
      <c r="D49" s="2">
        <v>28</v>
      </c>
      <c r="E49" s="2">
        <v>28</v>
      </c>
      <c r="F49" s="2">
        <f t="shared" si="4"/>
        <v>752.64</v>
      </c>
      <c r="G49" s="63">
        <f t="shared" si="5"/>
        <v>18977.504000000001</v>
      </c>
      <c r="H49" s="63">
        <f t="shared" si="6"/>
        <v>567450.4192</v>
      </c>
      <c r="I49" s="68">
        <f t="shared" si="3"/>
        <v>27.458089275597214</v>
      </c>
      <c r="J49" s="2">
        <v>591</v>
      </c>
    </row>
    <row r="50" spans="1:10" x14ac:dyDescent="0.25">
      <c r="A50" s="69" t="s">
        <v>656</v>
      </c>
      <c r="B50" s="2">
        <v>700</v>
      </c>
      <c r="C50" s="2">
        <v>700</v>
      </c>
      <c r="D50" s="2">
        <v>32</v>
      </c>
      <c r="E50" s="2">
        <v>32</v>
      </c>
      <c r="F50" s="2">
        <f t="shared" si="4"/>
        <v>855.04</v>
      </c>
      <c r="G50" s="63">
        <f t="shared" si="5"/>
        <v>21435.135999999999</v>
      </c>
      <c r="H50" s="63">
        <f t="shared" si="6"/>
        <v>637358.21653333318</v>
      </c>
      <c r="I50" s="68">
        <f t="shared" si="3"/>
        <v>27.302258758815785</v>
      </c>
      <c r="J50" s="2">
        <v>671</v>
      </c>
    </row>
    <row r="51" spans="1:10" x14ac:dyDescent="0.25">
      <c r="A51" s="69" t="s">
        <v>657</v>
      </c>
      <c r="B51" s="2">
        <v>700</v>
      </c>
      <c r="C51" s="2">
        <v>700</v>
      </c>
      <c r="D51" s="2">
        <v>36</v>
      </c>
      <c r="E51" s="2">
        <v>36</v>
      </c>
      <c r="F51" s="2">
        <f t="shared" si="4"/>
        <v>956.16</v>
      </c>
      <c r="G51" s="63">
        <f t="shared" si="5"/>
        <v>23831.712</v>
      </c>
      <c r="H51" s="63">
        <f t="shared" si="6"/>
        <v>704677.17119999998</v>
      </c>
      <c r="I51" s="68">
        <f t="shared" si="3"/>
        <v>27.147498350062879</v>
      </c>
      <c r="J51" s="2">
        <v>750</v>
      </c>
    </row>
    <row r="52" spans="1:10" x14ac:dyDescent="0.25">
      <c r="A52" s="69" t="s">
        <v>658</v>
      </c>
      <c r="B52" s="2">
        <v>700</v>
      </c>
      <c r="C52" s="2">
        <v>700</v>
      </c>
      <c r="D52" s="2">
        <v>40</v>
      </c>
      <c r="E52" s="2">
        <v>40</v>
      </c>
      <c r="F52" s="2">
        <f t="shared" si="4"/>
        <v>1056</v>
      </c>
      <c r="G52" s="63">
        <f t="shared" si="5"/>
        <v>26168</v>
      </c>
      <c r="H52" s="63">
        <f t="shared" si="6"/>
        <v>769472</v>
      </c>
      <c r="I52" s="68">
        <f t="shared" si="3"/>
        <v>26.993826454703797</v>
      </c>
      <c r="J52" s="2">
        <v>829</v>
      </c>
    </row>
    <row r="53" spans="1:10" x14ac:dyDescent="0.25">
      <c r="A53" s="69" t="s">
        <v>659</v>
      </c>
      <c r="B53" s="2">
        <v>700</v>
      </c>
      <c r="C53" s="2">
        <v>700</v>
      </c>
      <c r="D53" s="2">
        <v>45</v>
      </c>
      <c r="E53" s="2">
        <v>45</v>
      </c>
      <c r="F53" s="2">
        <f t="shared" si="4"/>
        <v>1179</v>
      </c>
      <c r="G53" s="63">
        <f t="shared" si="5"/>
        <v>29004.75</v>
      </c>
      <c r="H53" s="63">
        <f t="shared" si="6"/>
        <v>847013.25</v>
      </c>
      <c r="I53" s="68">
        <f t="shared" si="3"/>
        <v>26.803295817243569</v>
      </c>
      <c r="J53" s="2">
        <v>925</v>
      </c>
    </row>
    <row r="54" spans="1:10" x14ac:dyDescent="0.25">
      <c r="A54" s="69" t="s">
        <v>660</v>
      </c>
      <c r="B54" s="2">
        <v>700</v>
      </c>
      <c r="C54" s="2">
        <v>700</v>
      </c>
      <c r="D54" s="2">
        <v>50</v>
      </c>
      <c r="E54" s="2">
        <v>50</v>
      </c>
      <c r="F54" s="2">
        <f t="shared" si="4"/>
        <v>1300</v>
      </c>
      <c r="G54" s="63">
        <f t="shared" si="5"/>
        <v>31750</v>
      </c>
      <c r="H54" s="63">
        <f t="shared" si="6"/>
        <v>920833.33333333326</v>
      </c>
      <c r="I54" s="68">
        <f t="shared" si="3"/>
        <v>26.614532371118852</v>
      </c>
      <c r="J54" s="2">
        <v>1020</v>
      </c>
    </row>
    <row r="55" spans="1:10" x14ac:dyDescent="0.25">
      <c r="A55" s="69" t="s">
        <v>661</v>
      </c>
      <c r="B55" s="2">
        <v>750</v>
      </c>
      <c r="C55" s="2">
        <v>750</v>
      </c>
      <c r="D55" s="2">
        <v>22</v>
      </c>
      <c r="E55" s="2">
        <v>22</v>
      </c>
      <c r="F55" s="2">
        <f t="shared" si="4"/>
        <v>640.64</v>
      </c>
      <c r="G55" s="63">
        <f t="shared" si="5"/>
        <v>17494.795999999998</v>
      </c>
      <c r="H55" s="63">
        <f t="shared" si="6"/>
        <v>566398.36586666678</v>
      </c>
      <c r="I55" s="68">
        <f t="shared" si="3"/>
        <v>29.734043339803847</v>
      </c>
      <c r="J55" s="2">
        <v>503</v>
      </c>
    </row>
    <row r="56" spans="1:10" x14ac:dyDescent="0.25">
      <c r="A56" s="69" t="s">
        <v>662</v>
      </c>
      <c r="B56" s="2">
        <v>750</v>
      </c>
      <c r="C56" s="2">
        <v>750</v>
      </c>
      <c r="D56" s="2">
        <v>25</v>
      </c>
      <c r="E56" s="2">
        <v>25</v>
      </c>
      <c r="F56" s="2">
        <f t="shared" si="4"/>
        <v>725</v>
      </c>
      <c r="G56" s="63">
        <f t="shared" si="5"/>
        <v>19718.75</v>
      </c>
      <c r="H56" s="63">
        <f t="shared" si="6"/>
        <v>635885.41666666674</v>
      </c>
      <c r="I56" s="68">
        <f t="shared" si="3"/>
        <v>29.615592739861437</v>
      </c>
      <c r="J56" s="2">
        <v>569</v>
      </c>
    </row>
    <row r="57" spans="1:10" x14ac:dyDescent="0.25">
      <c r="A57" s="69" t="s">
        <v>663</v>
      </c>
      <c r="B57" s="2">
        <v>750</v>
      </c>
      <c r="C57" s="2">
        <v>750</v>
      </c>
      <c r="D57" s="2">
        <v>28</v>
      </c>
      <c r="E57" s="2">
        <v>28</v>
      </c>
      <c r="F57" s="2">
        <f t="shared" si="4"/>
        <v>808.64</v>
      </c>
      <c r="G57" s="63">
        <f t="shared" si="5"/>
        <v>21904.903999999999</v>
      </c>
      <c r="H57" s="63">
        <f t="shared" si="6"/>
        <v>703608.44586666685</v>
      </c>
      <c r="I57" s="68">
        <f t="shared" si="3"/>
        <v>29.497683524869093</v>
      </c>
      <c r="J57" s="2">
        <v>635</v>
      </c>
    </row>
    <row r="58" spans="1:10" x14ac:dyDescent="0.25">
      <c r="A58" s="69" t="s">
        <v>664</v>
      </c>
      <c r="B58" s="2">
        <v>750</v>
      </c>
      <c r="C58" s="2">
        <v>750</v>
      </c>
      <c r="D58" s="2">
        <v>32</v>
      </c>
      <c r="E58" s="2">
        <v>32</v>
      </c>
      <c r="F58" s="2">
        <f t="shared" si="4"/>
        <v>919.04</v>
      </c>
      <c r="G58" s="63">
        <f t="shared" si="5"/>
        <v>24761.536</v>
      </c>
      <c r="H58" s="63">
        <f t="shared" si="6"/>
        <v>791213.78986666678</v>
      </c>
      <c r="I58" s="68">
        <f t="shared" si="3"/>
        <v>29.341324669028381</v>
      </c>
      <c r="J58" s="2">
        <v>721</v>
      </c>
    </row>
    <row r="59" spans="1:10" x14ac:dyDescent="0.25">
      <c r="A59" s="69" t="s">
        <v>665</v>
      </c>
      <c r="B59" s="2">
        <v>750</v>
      </c>
      <c r="C59" s="2">
        <v>750</v>
      </c>
      <c r="D59" s="2">
        <v>36</v>
      </c>
      <c r="E59" s="2">
        <v>36</v>
      </c>
      <c r="F59" s="2">
        <f t="shared" si="4"/>
        <v>1028.1600000000001</v>
      </c>
      <c r="G59" s="63">
        <f t="shared" si="5"/>
        <v>27552.312000000002</v>
      </c>
      <c r="H59" s="63">
        <f t="shared" si="6"/>
        <v>875807.25120000006</v>
      </c>
      <c r="I59" s="68">
        <f t="shared" si="3"/>
        <v>29.185955526588469</v>
      </c>
      <c r="J59" s="2">
        <v>807</v>
      </c>
    </row>
    <row r="60" spans="1:10" x14ac:dyDescent="0.25">
      <c r="A60" s="69" t="s">
        <v>666</v>
      </c>
      <c r="B60" s="2">
        <v>750</v>
      </c>
      <c r="C60" s="2">
        <v>750</v>
      </c>
      <c r="D60" s="2">
        <v>40</v>
      </c>
      <c r="E60" s="2">
        <v>40</v>
      </c>
      <c r="F60" s="2">
        <f t="shared" si="4"/>
        <v>1136</v>
      </c>
      <c r="G60" s="63">
        <f t="shared" si="5"/>
        <v>30278</v>
      </c>
      <c r="H60" s="63">
        <f t="shared" si="6"/>
        <v>957458.66666666674</v>
      </c>
      <c r="I60" s="68">
        <f t="shared" si="3"/>
        <v>29.031591987580242</v>
      </c>
      <c r="J60" s="2">
        <v>892</v>
      </c>
    </row>
    <row r="61" spans="1:10" x14ac:dyDescent="0.25">
      <c r="A61" s="69" t="s">
        <v>667</v>
      </c>
      <c r="B61" s="2">
        <v>750</v>
      </c>
      <c r="C61" s="2">
        <v>750</v>
      </c>
      <c r="D61" s="2">
        <v>45</v>
      </c>
      <c r="E61" s="2">
        <v>45</v>
      </c>
      <c r="F61" s="2">
        <f t="shared" si="4"/>
        <v>1269</v>
      </c>
      <c r="G61" s="63">
        <f t="shared" si="5"/>
        <v>33594.75</v>
      </c>
      <c r="H61" s="63">
        <f t="shared" si="6"/>
        <v>1055490.75</v>
      </c>
      <c r="I61" s="68">
        <f t="shared" si="3"/>
        <v>28.840076282839476</v>
      </c>
      <c r="J61" s="2">
        <v>996</v>
      </c>
    </row>
    <row r="62" spans="1:10" x14ac:dyDescent="0.25">
      <c r="A62" s="69" t="s">
        <v>668</v>
      </c>
      <c r="B62" s="2">
        <v>750</v>
      </c>
      <c r="C62" s="2">
        <v>750</v>
      </c>
      <c r="D62" s="2">
        <v>50</v>
      </c>
      <c r="E62" s="2">
        <v>50</v>
      </c>
      <c r="F62" s="2">
        <f t="shared" si="4"/>
        <v>1400</v>
      </c>
      <c r="G62" s="63">
        <f t="shared" si="5"/>
        <v>36812.5</v>
      </c>
      <c r="H62" s="63">
        <f t="shared" si="6"/>
        <v>1149166.6666666667</v>
      </c>
      <c r="I62" s="68">
        <f t="shared" si="3"/>
        <v>28.650189062785142</v>
      </c>
      <c r="J62" s="2">
        <v>1100</v>
      </c>
    </row>
    <row r="63" spans="1:10" x14ac:dyDescent="0.25">
      <c r="A63" s="69" t="s">
        <v>669</v>
      </c>
      <c r="B63" s="2">
        <v>800</v>
      </c>
      <c r="C63" s="2">
        <v>800</v>
      </c>
      <c r="D63" s="2">
        <v>25</v>
      </c>
      <c r="E63" s="2">
        <v>25</v>
      </c>
      <c r="F63" s="2">
        <f t="shared" si="4"/>
        <v>775</v>
      </c>
      <c r="G63" s="63">
        <f t="shared" si="5"/>
        <v>22531.25</v>
      </c>
      <c r="H63" s="63">
        <f t="shared" si="6"/>
        <v>776614.58333333279</v>
      </c>
      <c r="I63" s="68">
        <f t="shared" si="3"/>
        <v>31.655699855370955</v>
      </c>
      <c r="J63" s="2">
        <v>608</v>
      </c>
    </row>
    <row r="64" spans="1:10" x14ac:dyDescent="0.25">
      <c r="A64" s="69" t="s">
        <v>670</v>
      </c>
      <c r="B64" s="2">
        <v>800</v>
      </c>
      <c r="C64" s="2">
        <v>800</v>
      </c>
      <c r="D64" s="2">
        <v>28</v>
      </c>
      <c r="E64" s="2">
        <v>28</v>
      </c>
      <c r="F64" s="2">
        <f t="shared" si="4"/>
        <v>864.64</v>
      </c>
      <c r="G64" s="63">
        <f t="shared" si="5"/>
        <v>25042.304</v>
      </c>
      <c r="H64" s="63">
        <f t="shared" si="6"/>
        <v>859982.47253333288</v>
      </c>
      <c r="I64" s="68">
        <f t="shared" si="3"/>
        <v>31.537490916896555</v>
      </c>
      <c r="J64" s="2">
        <v>679</v>
      </c>
    </row>
    <row r="65" spans="1:10" x14ac:dyDescent="0.25">
      <c r="A65" s="69" t="s">
        <v>671</v>
      </c>
      <c r="B65" s="2">
        <v>800</v>
      </c>
      <c r="C65" s="2">
        <v>800</v>
      </c>
      <c r="D65" s="2">
        <v>32</v>
      </c>
      <c r="E65" s="2">
        <v>32</v>
      </c>
      <c r="F65" s="2">
        <f t="shared" si="4"/>
        <v>983.04</v>
      </c>
      <c r="G65" s="63">
        <f t="shared" si="5"/>
        <v>28327.936000000002</v>
      </c>
      <c r="H65" s="63">
        <f t="shared" si="6"/>
        <v>968045.36319999967</v>
      </c>
      <c r="I65" s="68">
        <f t="shared" si="3"/>
        <v>31.380673457825381</v>
      </c>
      <c r="J65" s="2">
        <v>772</v>
      </c>
    </row>
    <row r="66" spans="1:10" x14ac:dyDescent="0.25">
      <c r="A66" s="69" t="s">
        <v>672</v>
      </c>
      <c r="B66" s="2">
        <v>800</v>
      </c>
      <c r="C66" s="2">
        <v>800</v>
      </c>
      <c r="D66" s="2">
        <v>36</v>
      </c>
      <c r="E66" s="2">
        <v>36</v>
      </c>
      <c r="F66" s="2">
        <f t="shared" ref="F66:F83" si="7">(B66*C66-(B66-2*E66)*(C66-2*D66))/100</f>
        <v>1100.1600000000001</v>
      </c>
      <c r="G66" s="63">
        <f t="shared" ref="G66:G83" si="8">(C66*B66/2*B66/4*2-(C66-2*D66)*(B66/2-E66)*(B66/2-E66)/2*2)/1000</f>
        <v>31542.912</v>
      </c>
      <c r="H66" s="63">
        <f t="shared" ref="H66:H83" si="9">(1/12*C66*B66^3-1/12*(C66-2*D66)*(B66-2*E66)^3)/10000</f>
        <v>1072641.3311999997</v>
      </c>
      <c r="I66" s="68">
        <f t="shared" si="3"/>
        <v>31.224776487056978</v>
      </c>
      <c r="J66" s="2">
        <v>864</v>
      </c>
    </row>
    <row r="67" spans="1:10" x14ac:dyDescent="0.25">
      <c r="A67" s="69" t="s">
        <v>673</v>
      </c>
      <c r="B67" s="2">
        <v>800</v>
      </c>
      <c r="C67" s="2">
        <v>800</v>
      </c>
      <c r="D67" s="2">
        <v>40</v>
      </c>
      <c r="E67" s="2">
        <v>40</v>
      </c>
      <c r="F67" s="2">
        <f t="shared" si="7"/>
        <v>1216</v>
      </c>
      <c r="G67" s="63">
        <f t="shared" si="8"/>
        <v>34688</v>
      </c>
      <c r="H67" s="63">
        <f t="shared" si="9"/>
        <v>1173845.3333333328</v>
      </c>
      <c r="I67" s="68">
        <f t="shared" si="3"/>
        <v>31.069813860616108</v>
      </c>
      <c r="J67" s="2">
        <v>954</v>
      </c>
    </row>
    <row r="68" spans="1:10" x14ac:dyDescent="0.25">
      <c r="A68" s="69" t="s">
        <v>674</v>
      </c>
      <c r="B68" s="2">
        <v>800</v>
      </c>
      <c r="C68" s="2">
        <v>800</v>
      </c>
      <c r="D68" s="2">
        <v>45</v>
      </c>
      <c r="E68" s="2">
        <v>45</v>
      </c>
      <c r="F68" s="2">
        <f t="shared" si="7"/>
        <v>1359</v>
      </c>
      <c r="G68" s="63">
        <f t="shared" si="8"/>
        <v>38522.25</v>
      </c>
      <c r="H68" s="63">
        <f t="shared" si="9"/>
        <v>1295693.2499999995</v>
      </c>
      <c r="I68" s="68">
        <f t="shared" si="3"/>
        <v>30.877445922010232</v>
      </c>
      <c r="J68" s="2">
        <v>1070</v>
      </c>
    </row>
    <row r="69" spans="1:10" x14ac:dyDescent="0.25">
      <c r="A69" s="69" t="s">
        <v>675</v>
      </c>
      <c r="B69" s="2">
        <v>800</v>
      </c>
      <c r="C69" s="2">
        <v>800</v>
      </c>
      <c r="D69" s="2">
        <v>50</v>
      </c>
      <c r="E69" s="2">
        <v>50</v>
      </c>
      <c r="F69" s="2">
        <f t="shared" si="7"/>
        <v>1500</v>
      </c>
      <c r="G69" s="63">
        <f t="shared" si="8"/>
        <v>42250</v>
      </c>
      <c r="H69" s="63">
        <f t="shared" si="9"/>
        <v>1412499.9999999995</v>
      </c>
      <c r="I69" s="68">
        <f t="shared" ref="I69:I83" si="10">SQRT(H69/F69)</f>
        <v>30.686587732536612</v>
      </c>
      <c r="J69" s="2">
        <v>1180</v>
      </c>
    </row>
    <row r="70" spans="1:10" x14ac:dyDescent="0.25">
      <c r="A70" s="69" t="s">
        <v>676</v>
      </c>
      <c r="B70" s="2">
        <v>850</v>
      </c>
      <c r="C70" s="2">
        <v>850</v>
      </c>
      <c r="D70" s="2">
        <v>25</v>
      </c>
      <c r="E70" s="2">
        <v>25</v>
      </c>
      <c r="F70" s="2">
        <f t="shared" si="7"/>
        <v>825</v>
      </c>
      <c r="G70" s="63">
        <f t="shared" si="8"/>
        <v>25531.25</v>
      </c>
      <c r="H70" s="63">
        <f t="shared" si="9"/>
        <v>936718.75</v>
      </c>
      <c r="I70" s="68">
        <f t="shared" si="10"/>
        <v>33.69594436525955</v>
      </c>
      <c r="J70" s="2">
        <v>648</v>
      </c>
    </row>
    <row r="71" spans="1:10" x14ac:dyDescent="0.25">
      <c r="A71" s="69" t="s">
        <v>677</v>
      </c>
      <c r="B71" s="2">
        <v>850</v>
      </c>
      <c r="C71" s="2">
        <v>850</v>
      </c>
      <c r="D71" s="2">
        <v>28</v>
      </c>
      <c r="E71" s="2">
        <v>28</v>
      </c>
      <c r="F71" s="2">
        <f t="shared" si="7"/>
        <v>920.64</v>
      </c>
      <c r="G71" s="63">
        <f t="shared" si="8"/>
        <v>28389.704000000002</v>
      </c>
      <c r="H71" s="63">
        <f t="shared" si="9"/>
        <v>1037972.4992</v>
      </c>
      <c r="I71" s="68">
        <f t="shared" si="10"/>
        <v>33.577472606893252</v>
      </c>
      <c r="J71" s="2">
        <v>723</v>
      </c>
    </row>
    <row r="72" spans="1:10" x14ac:dyDescent="0.25">
      <c r="A72" s="69" t="s">
        <v>678</v>
      </c>
      <c r="B72" s="2">
        <v>850</v>
      </c>
      <c r="C72" s="2">
        <v>850</v>
      </c>
      <c r="D72" s="2">
        <v>32</v>
      </c>
      <c r="E72" s="2">
        <v>32</v>
      </c>
      <c r="F72" s="2">
        <f t="shared" si="7"/>
        <v>1047.04</v>
      </c>
      <c r="G72" s="63">
        <f t="shared" si="8"/>
        <v>32134.335999999999</v>
      </c>
      <c r="H72" s="63">
        <f t="shared" si="9"/>
        <v>1169452.9365333328</v>
      </c>
      <c r="I72" s="68">
        <f t="shared" si="10"/>
        <v>33.42025334035236</v>
      </c>
      <c r="J72" s="2">
        <v>822</v>
      </c>
    </row>
    <row r="73" spans="1:10" x14ac:dyDescent="0.25">
      <c r="A73" s="69" t="s">
        <v>679</v>
      </c>
      <c r="B73" s="2">
        <v>850</v>
      </c>
      <c r="C73" s="2">
        <v>850</v>
      </c>
      <c r="D73" s="2">
        <v>36</v>
      </c>
      <c r="E73" s="2">
        <v>36</v>
      </c>
      <c r="F73" s="2">
        <f t="shared" si="7"/>
        <v>1172.1600000000001</v>
      </c>
      <c r="G73" s="63">
        <f t="shared" si="8"/>
        <v>35803.512000000002</v>
      </c>
      <c r="H73" s="63">
        <f t="shared" si="9"/>
        <v>1296979.4111999995</v>
      </c>
      <c r="I73" s="68">
        <f t="shared" si="10"/>
        <v>33.263894340059856</v>
      </c>
      <c r="J73" s="2">
        <v>920</v>
      </c>
    </row>
    <row r="74" spans="1:10" x14ac:dyDescent="0.25">
      <c r="A74" s="69" t="s">
        <v>680</v>
      </c>
      <c r="B74" s="2">
        <v>850</v>
      </c>
      <c r="C74" s="2">
        <v>850</v>
      </c>
      <c r="D74" s="2">
        <v>40</v>
      </c>
      <c r="E74" s="2">
        <v>40</v>
      </c>
      <c r="F74" s="2">
        <f t="shared" si="7"/>
        <v>1296</v>
      </c>
      <c r="G74" s="63">
        <f t="shared" si="8"/>
        <v>39398</v>
      </c>
      <c r="H74" s="63">
        <f t="shared" si="9"/>
        <v>1420632</v>
      </c>
      <c r="I74" s="68">
        <f t="shared" si="10"/>
        <v>33.108407794194314</v>
      </c>
      <c r="J74" s="2">
        <v>1020</v>
      </c>
    </row>
    <row r="75" spans="1:10" x14ac:dyDescent="0.25">
      <c r="A75" s="69" t="s">
        <v>681</v>
      </c>
      <c r="B75" s="2">
        <v>850</v>
      </c>
      <c r="C75" s="2">
        <v>850</v>
      </c>
      <c r="D75" s="2">
        <v>45</v>
      </c>
      <c r="E75" s="2">
        <v>45</v>
      </c>
      <c r="F75" s="2">
        <f t="shared" si="7"/>
        <v>1449</v>
      </c>
      <c r="G75" s="63">
        <f t="shared" si="8"/>
        <v>43787.25</v>
      </c>
      <c r="H75" s="63">
        <f t="shared" si="9"/>
        <v>1569870.7499999995</v>
      </c>
      <c r="I75" s="68">
        <f t="shared" si="10"/>
        <v>32.915295330084255</v>
      </c>
      <c r="J75" s="2">
        <v>1140</v>
      </c>
    </row>
    <row r="76" spans="1:10" x14ac:dyDescent="0.25">
      <c r="A76" s="69" t="s">
        <v>682</v>
      </c>
      <c r="B76" s="2">
        <v>850</v>
      </c>
      <c r="C76" s="2">
        <v>850</v>
      </c>
      <c r="D76" s="2">
        <v>50</v>
      </c>
      <c r="E76" s="2">
        <v>50</v>
      </c>
      <c r="F76" s="2">
        <f t="shared" si="7"/>
        <v>1600</v>
      </c>
      <c r="G76" s="63">
        <f t="shared" si="8"/>
        <v>48062.5</v>
      </c>
      <c r="H76" s="63">
        <f t="shared" si="9"/>
        <v>1713333.3333333328</v>
      </c>
      <c r="I76" s="68">
        <f t="shared" si="10"/>
        <v>32.723589860119766</v>
      </c>
      <c r="J76" s="2">
        <v>1260</v>
      </c>
    </row>
    <row r="77" spans="1:10" x14ac:dyDescent="0.25">
      <c r="A77" s="69" t="s">
        <v>683</v>
      </c>
      <c r="B77" s="2">
        <v>900</v>
      </c>
      <c r="C77" s="2">
        <v>900</v>
      </c>
      <c r="D77" s="2">
        <v>25</v>
      </c>
      <c r="E77" s="2">
        <v>25</v>
      </c>
      <c r="F77" s="2">
        <f t="shared" si="7"/>
        <v>875</v>
      </c>
      <c r="G77" s="63">
        <f t="shared" si="8"/>
        <v>28718.75</v>
      </c>
      <c r="H77" s="63">
        <f t="shared" si="9"/>
        <v>1117447.9166666672</v>
      </c>
      <c r="I77" s="68">
        <f t="shared" si="10"/>
        <v>35.736302737319285</v>
      </c>
      <c r="J77" s="2">
        <v>687</v>
      </c>
    </row>
    <row r="78" spans="1:10" x14ac:dyDescent="0.25">
      <c r="A78" s="69" t="s">
        <v>684</v>
      </c>
      <c r="B78" s="2">
        <v>900</v>
      </c>
      <c r="C78" s="2">
        <v>900</v>
      </c>
      <c r="D78" s="2">
        <v>28</v>
      </c>
      <c r="E78" s="2">
        <v>28</v>
      </c>
      <c r="F78" s="2">
        <f t="shared" si="7"/>
        <v>976.64</v>
      </c>
      <c r="G78" s="63">
        <f t="shared" si="8"/>
        <v>31947.103999999999</v>
      </c>
      <c r="H78" s="63">
        <f t="shared" si="9"/>
        <v>1238978.5258666673</v>
      </c>
      <c r="I78" s="68">
        <f t="shared" si="10"/>
        <v>35.617598646362083</v>
      </c>
      <c r="J78" s="2">
        <v>767</v>
      </c>
    </row>
    <row r="79" spans="1:10" x14ac:dyDescent="0.25">
      <c r="A79" s="69" t="s">
        <v>685</v>
      </c>
      <c r="B79" s="2">
        <v>900</v>
      </c>
      <c r="C79" s="2">
        <v>900</v>
      </c>
      <c r="D79" s="2">
        <v>32</v>
      </c>
      <c r="E79" s="2">
        <v>32</v>
      </c>
      <c r="F79" s="2">
        <f t="shared" si="7"/>
        <v>1111.04</v>
      </c>
      <c r="G79" s="63">
        <f t="shared" si="8"/>
        <v>36180.735999999997</v>
      </c>
      <c r="H79" s="63">
        <f t="shared" si="9"/>
        <v>1397036.5098666672</v>
      </c>
      <c r="I79" s="68">
        <f t="shared" si="10"/>
        <v>35.460024440675923</v>
      </c>
      <c r="J79" s="2">
        <v>872</v>
      </c>
    </row>
    <row r="80" spans="1:10" x14ac:dyDescent="0.25">
      <c r="A80" s="69" t="s">
        <v>686</v>
      </c>
      <c r="B80" s="2">
        <v>900</v>
      </c>
      <c r="C80" s="2">
        <v>900</v>
      </c>
      <c r="D80" s="2">
        <v>36</v>
      </c>
      <c r="E80" s="2">
        <v>36</v>
      </c>
      <c r="F80" s="2">
        <f t="shared" si="7"/>
        <v>1244.1600000000001</v>
      </c>
      <c r="G80" s="63">
        <f t="shared" si="8"/>
        <v>40334.112000000001</v>
      </c>
      <c r="H80" s="63">
        <f t="shared" si="9"/>
        <v>1550621.4912</v>
      </c>
      <c r="I80" s="68">
        <f t="shared" si="10"/>
        <v>35.303257640053559</v>
      </c>
      <c r="J80" s="2">
        <v>977</v>
      </c>
    </row>
    <row r="81" spans="1:10" x14ac:dyDescent="0.25">
      <c r="A81" s="69" t="s">
        <v>687</v>
      </c>
      <c r="B81" s="2">
        <v>900</v>
      </c>
      <c r="C81" s="2">
        <v>900</v>
      </c>
      <c r="D81" s="2">
        <v>40</v>
      </c>
      <c r="E81" s="2">
        <v>40</v>
      </c>
      <c r="F81" s="2">
        <f t="shared" si="7"/>
        <v>1376</v>
      </c>
      <c r="G81" s="63">
        <f t="shared" si="8"/>
        <v>44408</v>
      </c>
      <c r="H81" s="63">
        <f t="shared" si="9"/>
        <v>1699818.6666666672</v>
      </c>
      <c r="I81" s="68">
        <f t="shared" si="10"/>
        <v>35.147309048251955</v>
      </c>
      <c r="J81" s="2">
        <v>1080</v>
      </c>
    </row>
    <row r="82" spans="1:10" x14ac:dyDescent="0.25">
      <c r="A82" s="69" t="s">
        <v>688</v>
      </c>
      <c r="B82" s="2">
        <v>900</v>
      </c>
      <c r="C82" s="2">
        <v>900</v>
      </c>
      <c r="D82" s="2">
        <v>45</v>
      </c>
      <c r="E82" s="2">
        <v>45</v>
      </c>
      <c r="F82" s="2">
        <f t="shared" si="7"/>
        <v>1539</v>
      </c>
      <c r="G82" s="63">
        <f t="shared" si="8"/>
        <v>49389.75</v>
      </c>
      <c r="H82" s="63">
        <f t="shared" si="9"/>
        <v>1880273.25</v>
      </c>
      <c r="I82" s="68">
        <f t="shared" si="10"/>
        <v>34.953540593193132</v>
      </c>
      <c r="J82" s="2">
        <v>1210</v>
      </c>
    </row>
    <row r="83" spans="1:10" x14ac:dyDescent="0.25">
      <c r="A83" s="69" t="s">
        <v>689</v>
      </c>
      <c r="B83" s="2">
        <v>900</v>
      </c>
      <c r="C83" s="2">
        <v>900</v>
      </c>
      <c r="D83" s="2">
        <v>50</v>
      </c>
      <c r="E83" s="2">
        <v>50</v>
      </c>
      <c r="F83" s="2">
        <f t="shared" si="7"/>
        <v>1700</v>
      </c>
      <c r="G83" s="63">
        <f t="shared" si="8"/>
        <v>54250</v>
      </c>
      <c r="H83" s="63">
        <f t="shared" si="9"/>
        <v>2054166.6666666672</v>
      </c>
      <c r="I83" s="68">
        <f t="shared" si="10"/>
        <v>34.761089357690359</v>
      </c>
      <c r="J83" s="2">
        <v>1330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已命名的範圍</vt:lpstr>
      </vt:variant>
      <vt:variant>
        <vt:i4>24</vt:i4>
      </vt:variant>
    </vt:vector>
  </HeadingPairs>
  <TitlesOfParts>
    <vt:vector size="34" baseType="lpstr">
      <vt:lpstr>靜載重計算</vt:lpstr>
      <vt:lpstr>質量計算</vt:lpstr>
      <vt:lpstr>地震力計算</vt:lpstr>
      <vt:lpstr>MRF設計</vt:lpstr>
      <vt:lpstr>EBF設計</vt:lpstr>
      <vt:lpstr>BRBF設計</vt:lpstr>
      <vt:lpstr>資料</vt:lpstr>
      <vt:lpstr>寬翼斷面尺寸</vt:lpstr>
      <vt:lpstr>箱型斷面尺寸</vt:lpstr>
      <vt:lpstr>週期_hw1</vt:lpstr>
      <vt:lpstr>Section</vt:lpstr>
      <vt:lpstr>Section_box</vt:lpstr>
      <vt:lpstr>寬翼斷面尺寸!size_of_steel</vt:lpstr>
      <vt:lpstr>地盤分類</vt:lpstr>
      <vt:lpstr>宜蘭縣</vt:lpstr>
      <vt:lpstr>花蓮縣</vt:lpstr>
      <vt:lpstr>金門與馬祖地區</vt:lpstr>
      <vt:lpstr>南投縣</vt:lpstr>
      <vt:lpstr>屏東縣</vt:lpstr>
      <vt:lpstr>苗栗縣</vt:lpstr>
      <vt:lpstr>桃園縣</vt:lpstr>
      <vt:lpstr>高雄市</vt:lpstr>
      <vt:lpstr>基隆市</vt:lpstr>
      <vt:lpstr>雲林縣</vt:lpstr>
      <vt:lpstr>新竹縣</vt:lpstr>
      <vt:lpstr>嘉義市</vt:lpstr>
      <vt:lpstr>嘉義縣</vt:lpstr>
      <vt:lpstr>彰化縣</vt:lpstr>
      <vt:lpstr>構架型式</vt:lpstr>
      <vt:lpstr>臺中市</vt:lpstr>
      <vt:lpstr>臺東縣</vt:lpstr>
      <vt:lpstr>臺南市</vt:lpstr>
      <vt:lpstr>澎湖縣</vt:lpstr>
      <vt:lpstr>縣市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2018-05-27T11:39:31Z</dcterms:modified>
</cp:coreProperties>
</file>