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kyran/Documents/GitHub/matlab/10-st/DP1/"/>
    </mc:Choice>
  </mc:AlternateContent>
  <xr:revisionPtr revIDLastSave="0" documentId="10_ncr:8100000_{69C36109-280E-4F4C-9E3D-39DADB3A0198}" xr6:coauthVersionLast="32" xr6:coauthVersionMax="32" xr10:uidLastSave="{00000000-0000-0000-0000-000000000000}"/>
  <bookViews>
    <workbookView xWindow="0" yWindow="0" windowWidth="28800" windowHeight="18000" activeTab="2" xr2:uid="{00000000-000D-0000-FFFF-FFFF00000000}"/>
  </bookViews>
  <sheets>
    <sheet name="質量" sheetId="9" r:id="rId1"/>
    <sheet name="Lateral Force" sheetId="1" r:id="rId2"/>
    <sheet name="mass of inertia" sheetId="11" r:id="rId3"/>
    <sheet name="工作表10" sheetId="10" r:id="rId4"/>
    <sheet name="工作表7" sheetId="7" r:id="rId5"/>
    <sheet name="工作表2" sheetId="2" r:id="rId6"/>
    <sheet name="工作表8" sheetId="8" r:id="rId7"/>
    <sheet name="工作表3" sheetId="3" r:id="rId8"/>
    <sheet name="工作表4" sheetId="4" r:id="rId9"/>
    <sheet name="工作表6" sheetId="6" r:id="rId10"/>
    <sheet name="工作表5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J8" i="11" s="1"/>
  <c r="G7" i="11"/>
  <c r="G6" i="11"/>
  <c r="G5" i="11"/>
  <c r="J5" i="11"/>
  <c r="J7" i="11"/>
  <c r="J6" i="11"/>
  <c r="H5" i="11" l="1"/>
  <c r="H6" i="11"/>
  <c r="H7" i="11"/>
  <c r="H8" i="11"/>
  <c r="I5" i="11"/>
  <c r="I6" i="11"/>
  <c r="I7" i="11"/>
  <c r="I8" i="11"/>
  <c r="J5" i="1"/>
  <c r="H5" i="1"/>
  <c r="D10" i="1" l="1"/>
  <c r="D9" i="1"/>
  <c r="F9" i="1" s="1"/>
  <c r="D8" i="1"/>
  <c r="F8" i="1" s="1"/>
  <c r="D7" i="1"/>
  <c r="F10" i="1"/>
  <c r="F7" i="1"/>
  <c r="F11" i="1" l="1"/>
  <c r="I10" i="1" s="1"/>
  <c r="I8" i="1" l="1"/>
  <c r="I7" i="1"/>
  <c r="I9" i="1"/>
  <c r="I11" i="1"/>
  <c r="G8" i="1"/>
  <c r="G9" i="1"/>
  <c r="G10" i="1"/>
  <c r="G7" i="1"/>
  <c r="J29" i="9"/>
  <c r="F27" i="9"/>
  <c r="G27" i="9" s="1"/>
  <c r="F26" i="9"/>
  <c r="G26" i="9" s="1"/>
  <c r="F25" i="9"/>
  <c r="G25" i="9" s="1"/>
  <c r="F24" i="9"/>
  <c r="G24" i="9" s="1"/>
  <c r="F23" i="9"/>
  <c r="G23" i="9" s="1"/>
  <c r="F21" i="9"/>
  <c r="G21" i="9" s="1"/>
  <c r="G20" i="9"/>
  <c r="F20" i="9"/>
  <c r="F19" i="9"/>
  <c r="G19" i="9" s="1"/>
  <c r="G18" i="9"/>
  <c r="F18" i="9"/>
  <c r="F17" i="9"/>
  <c r="G17" i="9" s="1"/>
  <c r="G22" i="9" s="1"/>
  <c r="F15" i="9"/>
  <c r="G15" i="9" s="1"/>
  <c r="F14" i="9"/>
  <c r="G14" i="9" s="1"/>
  <c r="F13" i="9"/>
  <c r="G13" i="9" s="1"/>
  <c r="F12" i="9"/>
  <c r="G12" i="9" s="1"/>
  <c r="F11" i="9"/>
  <c r="G11" i="9" s="1"/>
  <c r="G9" i="9"/>
  <c r="F8" i="9"/>
  <c r="G8" i="9" s="1"/>
  <c r="F7" i="9"/>
  <c r="G7" i="9" s="1"/>
  <c r="E7" i="9"/>
  <c r="F6" i="9"/>
  <c r="G6" i="9" s="1"/>
  <c r="G5" i="9"/>
  <c r="F5" i="9"/>
  <c r="D24" i="8"/>
  <c r="D23" i="8"/>
  <c r="D22" i="8"/>
  <c r="D21" i="8"/>
  <c r="D20" i="8"/>
  <c r="D18" i="8"/>
  <c r="D17" i="8"/>
  <c r="D16" i="8"/>
  <c r="D15" i="8"/>
  <c r="D14" i="8"/>
  <c r="D8" i="8"/>
  <c r="D12" i="8"/>
  <c r="D10" i="8"/>
  <c r="D11" i="8"/>
  <c r="D9" i="8"/>
  <c r="D4" i="8"/>
  <c r="C4" i="8"/>
  <c r="G11" i="1" l="1"/>
  <c r="G10" i="9"/>
  <c r="G16" i="9"/>
  <c r="G28" i="9"/>
  <c r="E10" i="8"/>
  <c r="E24" i="8"/>
  <c r="E23" i="8"/>
  <c r="E22" i="8"/>
  <c r="E21" i="8"/>
  <c r="E20" i="8"/>
  <c r="E18" i="8"/>
  <c r="E17" i="8"/>
  <c r="E16" i="8"/>
  <c r="E15" i="8"/>
  <c r="E14" i="8"/>
  <c r="E12" i="8"/>
  <c r="E11" i="8"/>
  <c r="E9" i="8"/>
  <c r="E8" i="8"/>
  <c r="E6" i="8"/>
  <c r="D5" i="8"/>
  <c r="E5" i="8" s="1"/>
  <c r="D3" i="8"/>
  <c r="E3" i="8" s="1"/>
  <c r="D2" i="8"/>
  <c r="E2" i="8" s="1"/>
  <c r="D4" i="2"/>
  <c r="E4" i="2"/>
  <c r="D6" i="2"/>
  <c r="D3" i="2"/>
  <c r="D2" i="2"/>
  <c r="E7" i="2"/>
  <c r="G29" i="9" l="1"/>
  <c r="E25" i="8"/>
  <c r="E4" i="8"/>
  <c r="E7" i="8" s="1"/>
  <c r="E19" i="8"/>
  <c r="E13" i="8"/>
  <c r="E18" i="3"/>
  <c r="G18" i="3" s="1"/>
  <c r="E17" i="3"/>
  <c r="G17" i="3" s="1"/>
  <c r="E26" i="8" l="1"/>
  <c r="H17" i="3"/>
  <c r="H18" i="3"/>
  <c r="F17" i="3"/>
  <c r="F18" i="3"/>
  <c r="D43" i="4" l="1"/>
  <c r="D44" i="4"/>
  <c r="D45" i="4"/>
  <c r="D42" i="4"/>
  <c r="H3" i="4" l="1"/>
  <c r="H4" i="4"/>
  <c r="H5" i="4"/>
  <c r="H2" i="4"/>
  <c r="G45" i="5" l="1"/>
  <c r="G46" i="5"/>
  <c r="G44" i="5"/>
  <c r="G43" i="5"/>
  <c r="D44" i="5"/>
  <c r="E44" i="5" s="1"/>
  <c r="F44" i="5" s="1"/>
  <c r="D45" i="5"/>
  <c r="E45" i="5" s="1"/>
  <c r="F45" i="5" s="1"/>
  <c r="D46" i="5"/>
  <c r="E46" i="5" s="1"/>
  <c r="F46" i="5" s="1"/>
  <c r="D43" i="5"/>
  <c r="E43" i="5" s="1"/>
  <c r="F43" i="5" s="1"/>
  <c r="H30" i="5"/>
  <c r="H31" i="5"/>
  <c r="H32" i="5"/>
  <c r="H29" i="5"/>
  <c r="D30" i="5"/>
  <c r="E30" i="5" s="1"/>
  <c r="D31" i="5"/>
  <c r="E31" i="5" s="1"/>
  <c r="D32" i="5"/>
  <c r="E32" i="5" s="1"/>
  <c r="D29" i="5"/>
  <c r="E29" i="5" s="1"/>
  <c r="B16" i="5"/>
  <c r="B17" i="5"/>
  <c r="B18" i="5"/>
  <c r="B15" i="5"/>
  <c r="D11" i="5"/>
  <c r="E11" i="5" s="1"/>
  <c r="D12" i="5"/>
  <c r="E17" i="5" s="1"/>
  <c r="D13" i="5"/>
  <c r="E13" i="5" s="1"/>
  <c r="D18" i="5" s="1"/>
  <c r="H18" i="5" s="1"/>
  <c r="D10" i="5"/>
  <c r="C3" i="5"/>
  <c r="C4" i="5" s="1"/>
  <c r="C2" i="4"/>
  <c r="D2" i="4" s="1"/>
  <c r="E2" i="4" s="1"/>
  <c r="B18" i="4"/>
  <c r="C18" i="4" s="1"/>
  <c r="B19" i="4"/>
  <c r="C19" i="4" s="1"/>
  <c r="B20" i="4"/>
  <c r="D20" i="4" s="1"/>
  <c r="B21" i="4"/>
  <c r="D21" i="4" s="1"/>
  <c r="D26" i="4"/>
  <c r="E26" i="4" s="1"/>
  <c r="D27" i="4"/>
  <c r="E27" i="4" s="1"/>
  <c r="D28" i="4"/>
  <c r="E28" i="4" s="1"/>
  <c r="D29" i="4"/>
  <c r="E29" i="4" s="1"/>
  <c r="B34" i="4"/>
  <c r="D34" i="4" s="1"/>
  <c r="C34" i="4"/>
  <c r="B35" i="4"/>
  <c r="C35" i="4" s="1"/>
  <c r="B36" i="4"/>
  <c r="D36" i="4" s="1"/>
  <c r="B37" i="4"/>
  <c r="C37" i="4" s="1"/>
  <c r="E42" i="4"/>
  <c r="F42" i="4"/>
  <c r="E43" i="4"/>
  <c r="F43" i="4"/>
  <c r="E44" i="4"/>
  <c r="F44" i="4"/>
  <c r="E45" i="4"/>
  <c r="F45" i="4"/>
  <c r="B50" i="4"/>
  <c r="C50" i="4"/>
  <c r="B51" i="4"/>
  <c r="B52" i="4"/>
  <c r="B53" i="4"/>
  <c r="D58" i="4"/>
  <c r="E58" i="4" s="1"/>
  <c r="D59" i="4"/>
  <c r="E59" i="4" s="1"/>
  <c r="D60" i="4"/>
  <c r="E60" i="4"/>
  <c r="D61" i="4"/>
  <c r="E61" i="4" s="1"/>
  <c r="F58" i="4" l="1"/>
  <c r="H45" i="4"/>
  <c r="E10" i="5"/>
  <c r="C15" i="5" s="1"/>
  <c r="G15" i="5" s="1"/>
  <c r="G10" i="5"/>
  <c r="C21" i="4"/>
  <c r="E18" i="5"/>
  <c r="C25" i="5"/>
  <c r="C39" i="5"/>
  <c r="E15" i="5"/>
  <c r="E12" i="5"/>
  <c r="C18" i="5"/>
  <c r="G18" i="5" s="1"/>
  <c r="D3" i="5"/>
  <c r="E3" i="5" s="1"/>
  <c r="F10" i="5" s="1"/>
  <c r="C16" i="5"/>
  <c r="G16" i="5" s="1"/>
  <c r="D16" i="5"/>
  <c r="H16" i="5" s="1"/>
  <c r="E16" i="5"/>
  <c r="C5" i="5"/>
  <c r="D4" i="5"/>
  <c r="E4" i="5" s="1"/>
  <c r="F11" i="5" s="1"/>
  <c r="C36" i="4"/>
  <c r="H44" i="4" s="1"/>
  <c r="H42" i="4"/>
  <c r="C52" i="4"/>
  <c r="F60" i="4" s="1"/>
  <c r="C53" i="4"/>
  <c r="F61" i="4" s="1"/>
  <c r="D37" i="4"/>
  <c r="G45" i="4" s="1"/>
  <c r="I45" i="4" s="1"/>
  <c r="D18" i="4"/>
  <c r="F26" i="4" s="1"/>
  <c r="C3" i="4"/>
  <c r="C20" i="4"/>
  <c r="G42" i="4"/>
  <c r="F29" i="4"/>
  <c r="F2" i="4"/>
  <c r="G2" i="4" s="1"/>
  <c r="G10" i="4" s="1"/>
  <c r="G44" i="4"/>
  <c r="I44" i="4" s="1"/>
  <c r="H43" i="4"/>
  <c r="C51" i="4"/>
  <c r="F59" i="4" s="1"/>
  <c r="F28" i="4"/>
  <c r="D35" i="4"/>
  <c r="G43" i="4" s="1"/>
  <c r="D19" i="4"/>
  <c r="F27" i="4" s="1"/>
  <c r="D15" i="5" l="1"/>
  <c r="C36" i="5" s="1"/>
  <c r="C23" i="5"/>
  <c r="C37" i="5"/>
  <c r="B25" i="5"/>
  <c r="B39" i="5"/>
  <c r="B22" i="5"/>
  <c r="B36" i="5"/>
  <c r="B23" i="5"/>
  <c r="B37" i="5"/>
  <c r="D17" i="5"/>
  <c r="H17" i="5" s="1"/>
  <c r="C17" i="5"/>
  <c r="G17" i="5" s="1"/>
  <c r="D5" i="5"/>
  <c r="E5" i="5" s="1"/>
  <c r="F12" i="5" s="1"/>
  <c r="C6" i="5"/>
  <c r="D6" i="5" s="1"/>
  <c r="E6" i="5" s="1"/>
  <c r="F13" i="5" s="1"/>
  <c r="I43" i="4"/>
  <c r="I42" i="4"/>
  <c r="C4" i="4"/>
  <c r="D3" i="4"/>
  <c r="E3" i="4" s="1"/>
  <c r="C22" i="5" l="1"/>
  <c r="H15" i="5"/>
  <c r="E23" i="5"/>
  <c r="F23" i="5" s="1"/>
  <c r="I30" i="5" s="1"/>
  <c r="D23" i="5"/>
  <c r="E25" i="5"/>
  <c r="F25" i="5" s="1"/>
  <c r="I32" i="5" s="1"/>
  <c r="D25" i="5"/>
  <c r="E22" i="5"/>
  <c r="F22" i="5" s="1"/>
  <c r="I29" i="5" s="1"/>
  <c r="D22" i="5"/>
  <c r="B24" i="5"/>
  <c r="B38" i="5"/>
  <c r="C24" i="5"/>
  <c r="C38" i="5"/>
  <c r="F3" i="4"/>
  <c r="G3" i="4" s="1"/>
  <c r="G11" i="4" s="1"/>
  <c r="C5" i="4"/>
  <c r="D5" i="4" s="1"/>
  <c r="E5" i="4" s="1"/>
  <c r="D4" i="4"/>
  <c r="E4" i="4" s="1"/>
  <c r="F4" i="4" s="1"/>
  <c r="G4" i="4" s="1"/>
  <c r="G12" i="4" s="1"/>
  <c r="G29" i="5" l="1"/>
  <c r="J29" i="5" s="1"/>
  <c r="F29" i="5"/>
  <c r="K29" i="5" s="1"/>
  <c r="G30" i="5"/>
  <c r="J30" i="5" s="1"/>
  <c r="F30" i="5"/>
  <c r="K30" i="5" s="1"/>
  <c r="G32" i="5"/>
  <c r="J32" i="5" s="1"/>
  <c r="F32" i="5"/>
  <c r="K32" i="5" s="1"/>
  <c r="E24" i="5"/>
  <c r="F24" i="5" s="1"/>
  <c r="I31" i="5" s="1"/>
  <c r="D24" i="5"/>
  <c r="F5" i="4"/>
  <c r="G5" i="4" s="1"/>
  <c r="G13" i="4" s="1"/>
  <c r="G31" i="5" l="1"/>
  <c r="J31" i="5" s="1"/>
  <c r="F31" i="5"/>
  <c r="K31" i="5" s="1"/>
  <c r="D24" i="2" l="1"/>
  <c r="E24" i="2" s="1"/>
  <c r="D18" i="2"/>
  <c r="E18" i="2" s="1"/>
  <c r="D12" i="2"/>
  <c r="E12" i="2" s="1"/>
  <c r="E2" i="2"/>
  <c r="E3" i="2"/>
  <c r="D5" i="2"/>
  <c r="E5" i="2" s="1"/>
  <c r="E6" i="2"/>
  <c r="D9" i="2"/>
  <c r="E9" i="2" s="1"/>
  <c r="D10" i="2"/>
  <c r="E10" i="2"/>
  <c r="D11" i="2"/>
  <c r="E11" i="2" s="1"/>
  <c r="D13" i="2"/>
  <c r="E13" i="2" s="1"/>
  <c r="D15" i="2"/>
  <c r="E15" i="2" s="1"/>
  <c r="D16" i="2"/>
  <c r="E16" i="2"/>
  <c r="D17" i="2"/>
  <c r="E17" i="2"/>
  <c r="D19" i="2"/>
  <c r="E19" i="2"/>
  <c r="D21" i="2"/>
  <c r="E21" i="2" s="1"/>
  <c r="E15" i="3" s="1"/>
  <c r="D22" i="2"/>
  <c r="E22" i="2"/>
  <c r="D23" i="2"/>
  <c r="E23" i="2" s="1"/>
  <c r="D25" i="2"/>
  <c r="E25" i="2" s="1"/>
  <c r="P7" i="2"/>
  <c r="P8" i="2" s="1"/>
  <c r="Q7" i="2"/>
  <c r="P6" i="2"/>
  <c r="Q5" i="2"/>
  <c r="M2" i="2"/>
  <c r="M1" i="2"/>
  <c r="M3" i="2"/>
  <c r="K2" i="2"/>
  <c r="K1" i="2"/>
  <c r="P5" i="2"/>
  <c r="E20" i="2" l="1"/>
  <c r="K3" i="2"/>
  <c r="E26" i="2"/>
  <c r="E8" i="2"/>
  <c r="E4" i="3"/>
  <c r="G15" i="3"/>
  <c r="H15" i="3"/>
  <c r="F15" i="3"/>
  <c r="E14" i="2"/>
  <c r="E5" i="3" l="1"/>
  <c r="E2" i="3"/>
  <c r="H2" i="3" s="1"/>
  <c r="H7" i="3" s="1"/>
  <c r="E27" i="2"/>
  <c r="E16" i="3" s="1"/>
  <c r="E10" i="3"/>
  <c r="H5" i="3"/>
  <c r="H10" i="3" s="1"/>
  <c r="G5" i="3"/>
  <c r="G10" i="3" s="1"/>
  <c r="F5" i="3"/>
  <c r="F10" i="3" s="1"/>
  <c r="E3" i="3"/>
  <c r="H4" i="3"/>
  <c r="H9" i="3" s="1"/>
  <c r="E9" i="3"/>
  <c r="G4" i="3"/>
  <c r="G9" i="3" s="1"/>
  <c r="F4" i="3"/>
  <c r="F9" i="3" s="1"/>
  <c r="G2" i="3" l="1"/>
  <c r="G7" i="3" s="1"/>
  <c r="F2" i="3"/>
  <c r="F7" i="3" s="1"/>
  <c r="E7" i="3"/>
  <c r="G3" i="3"/>
  <c r="G8" i="3" s="1"/>
  <c r="E8" i="3"/>
  <c r="H3" i="3"/>
  <c r="H8" i="3" s="1"/>
  <c r="F3" i="3"/>
  <c r="F8" i="3" s="1"/>
  <c r="G16" i="3"/>
  <c r="H16" i="3"/>
  <c r="F16" i="3"/>
</calcChain>
</file>

<file path=xl/sharedStrings.xml><?xml version="1.0" encoding="utf-8"?>
<sst xmlns="http://schemas.openxmlformats.org/spreadsheetml/2006/main" count="733" uniqueCount="406">
  <si>
    <t>Averaged concrete slab weight</t>
  </si>
  <si>
    <t>Ceiling, air-condition piping and floor finishing</t>
  </si>
  <si>
    <t>Exterior walls(vertical surface)</t>
  </si>
  <si>
    <t>Mechanical equipment and roof water tank weighs</t>
  </si>
  <si>
    <t>Average weight of steel frame</t>
    <phoneticPr fontId="1" type="noConversion"/>
  </si>
  <si>
    <t>Partition walls</t>
  </si>
  <si>
    <t>RF</t>
    <phoneticPr fontId="1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</si>
  <si>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</si>
  <si>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</si>
  <si>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</si>
  <si>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Item</t>
    <phoneticPr fontId="1" type="noConversion"/>
  </si>
  <si>
    <t>Total weight(kgf)</t>
  </si>
  <si>
    <t>Σ</t>
    <phoneticPr fontId="1" type="noConversion"/>
  </si>
  <si>
    <t>Parapet in the roof</t>
    <phoneticPr fontId="1" type="noConversion"/>
  </si>
  <si>
    <t>Longitudinal direction</t>
    <phoneticPr fontId="1" type="noConversion"/>
  </si>
  <si>
    <t>T(sec)</t>
    <phoneticPr fontId="1" type="noConversion"/>
  </si>
  <si>
    <t>SaD</t>
    <phoneticPr fontId="1" type="noConversion"/>
  </si>
  <si>
    <t>SaM</t>
    <phoneticPr fontId="1" type="noConversion"/>
  </si>
  <si>
    <t>R</t>
    <phoneticPr fontId="1" type="noConversion"/>
  </si>
  <si>
    <t>Ra</t>
    <phoneticPr fontId="1" type="noConversion"/>
  </si>
  <si>
    <t>Fu</t>
    <phoneticPr fontId="1" type="noConversion"/>
  </si>
  <si>
    <r>
      <t>area(m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</si>
  <si>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</si>
  <si>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MS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</si>
  <si>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</si>
  <si>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 xml:space="preserve"> = 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F</t>
    </r>
    <r>
      <rPr>
        <vertAlign val="subscript"/>
        <sz val="12"/>
        <color theme="1"/>
        <rFont val="Times New Roman"/>
        <family val="1"/>
      </rPr>
      <t>v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</si>
  <si>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MRF(T = 0.085H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</si>
  <si>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BRBF, EBF(T = 0.07H</t>
    </r>
    <r>
      <rPr>
        <vertAlign val="superscript"/>
        <sz val="12"/>
        <color theme="1"/>
        <rFont val="Times New Roman"/>
        <family val="1"/>
      </rPr>
      <t>3/4</t>
    </r>
    <r>
      <rPr>
        <sz val="12"/>
        <color theme="1"/>
        <rFont val="Times New Roman"/>
        <family val="1"/>
      </rPr>
      <t>)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</si>
  <si>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D1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DS</t>
    </r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</si>
  <si>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0</t>
    </r>
    <r>
      <rPr>
        <vertAlign val="superscript"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1"/>
      </rPr>
      <t>=S</t>
    </r>
    <r>
      <rPr>
        <vertAlign val="subscript"/>
        <sz val="12"/>
        <color theme="1"/>
        <rFont val="Times New Roman"/>
        <family val="1"/>
      </rPr>
      <t>M1</t>
    </r>
    <r>
      <rPr>
        <sz val="12"/>
        <color theme="1"/>
        <rFont val="Times New Roman"/>
        <family val="1"/>
      </rPr>
      <t>/S</t>
    </r>
    <r>
      <rPr>
        <vertAlign val="subscript"/>
        <sz val="12"/>
        <color theme="1"/>
        <rFont val="Times New Roman"/>
        <family val="1"/>
      </rPr>
      <t>MS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</si>
  <si>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</si>
  <si>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t>F</t>
    </r>
    <r>
      <rPr>
        <vertAlign val="subscript"/>
        <sz val="12"/>
        <color theme="1"/>
        <rFont val="Times New Roman"/>
        <family val="1"/>
      </rPr>
      <t>v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</si>
  <si>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</si>
  <si>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D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</si>
  <si>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</si>
  <si>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1</t>
    </r>
    <r>
      <rPr>
        <vertAlign val="superscript"/>
        <sz val="12"/>
        <color theme="1"/>
        <rFont val="Times New Roman"/>
        <family val="1"/>
      </rPr>
      <t>M</t>
    </r>
    <phoneticPr fontId="1" type="noConversion"/>
  </si>
  <si>
    <r>
      <rPr>
        <sz val="12"/>
        <color theme="1"/>
        <rFont val="標楷體"/>
        <family val="4"/>
        <charset val="136"/>
      </rPr>
      <t>用途係數</t>
    </r>
    <r>
      <rPr>
        <sz val="12"/>
        <color theme="1"/>
        <rFont val="Times New Roman"/>
        <family val="1"/>
      </rPr>
      <t>I</t>
    </r>
    <phoneticPr fontId="1" type="noConversion"/>
  </si>
  <si>
    <t>2F</t>
    <phoneticPr fontId="1" type="noConversion"/>
  </si>
  <si>
    <t>Total</t>
    <phoneticPr fontId="1" type="noConversion"/>
  </si>
  <si>
    <t>3F</t>
    <phoneticPr fontId="1" type="noConversion"/>
  </si>
  <si>
    <t>Story</t>
    <phoneticPr fontId="1" type="noConversion"/>
  </si>
  <si>
    <t>Story height(m)</t>
    <phoneticPr fontId="1" type="noConversion"/>
  </si>
  <si>
    <t>Lateral force(tf)</t>
    <phoneticPr fontId="1" type="noConversion"/>
  </si>
  <si>
    <t>2F</t>
    <phoneticPr fontId="1" type="noConversion"/>
  </si>
  <si>
    <t>3F</t>
    <phoneticPr fontId="1" type="noConversion"/>
  </si>
  <si>
    <t>4F</t>
    <phoneticPr fontId="1" type="noConversion"/>
  </si>
  <si>
    <t>RF</t>
    <phoneticPr fontId="1" type="noConversion"/>
  </si>
  <si>
    <t xml:space="preserve"> </t>
    <phoneticPr fontId="1" type="noConversion"/>
  </si>
  <si>
    <t>Story</t>
    <phoneticPr fontId="1" type="noConversion"/>
  </si>
  <si>
    <t>Deck Thickness(m)</t>
    <phoneticPr fontId="1" type="noConversion"/>
  </si>
  <si>
    <t>Lx(m)</t>
    <phoneticPr fontId="1" type="noConversion"/>
  </si>
  <si>
    <t>Ly(m)</t>
    <phoneticPr fontId="1" type="noConversion"/>
  </si>
  <si>
    <t>Mass(kgf)</t>
    <phoneticPr fontId="1" type="noConversion"/>
  </si>
  <si>
    <t>Mass Moment of Inertia in x dir. (kgf-m2)</t>
    <phoneticPr fontId="1" type="noConversion"/>
  </si>
  <si>
    <t>Mass Moment of Inertia in y dir. (kgf-m2)</t>
    <phoneticPr fontId="1" type="noConversion"/>
  </si>
  <si>
    <t>Mass Moment of Inertia in z dir. (kgf-m2)</t>
    <phoneticPr fontId="1" type="noConversion"/>
  </si>
  <si>
    <t>STORY</t>
  </si>
  <si>
    <t>Lateral force(kgf)</t>
  </si>
  <si>
    <t>shear demand(kgf)</t>
  </si>
  <si>
    <t>RF</t>
  </si>
  <si>
    <t>cumulative lateral force(kgf)</t>
    <phoneticPr fontId="1" type="noConversion"/>
  </si>
  <si>
    <t>Lateral force (kgf)</t>
    <phoneticPr fontId="1" type="noConversion"/>
  </si>
  <si>
    <t>Brace force(kgf)</t>
    <phoneticPr fontId="1" type="noConversion"/>
  </si>
  <si>
    <t>Column force(kgf)</t>
    <phoneticPr fontId="1" type="noConversion"/>
  </si>
  <si>
    <t>Link Design</t>
    <phoneticPr fontId="1" type="noConversion"/>
  </si>
  <si>
    <t>selected section</t>
  </si>
  <si>
    <t>Vp (kgf)</t>
    <phoneticPr fontId="1" type="noConversion"/>
  </si>
  <si>
    <t>Mp (kgf-m)</t>
    <phoneticPr fontId="1" type="noConversion"/>
  </si>
  <si>
    <t>link type</t>
  </si>
  <si>
    <t>Vn(kgf)</t>
  </si>
  <si>
    <t>DCR</t>
  </si>
  <si>
    <t>H442X400X22X36</t>
    <phoneticPr fontId="1" type="noConversion"/>
  </si>
  <si>
    <t>shear</t>
  </si>
  <si>
    <t>H450X400X25X40</t>
    <phoneticPr fontId="1" type="noConversion"/>
  </si>
  <si>
    <t>Brace Demand</t>
    <phoneticPr fontId="1" type="noConversion"/>
  </si>
  <si>
    <t>Vult (kgf)</t>
    <phoneticPr fontId="1" type="noConversion"/>
  </si>
  <si>
    <t>Mult (kgf-m)</t>
    <phoneticPr fontId="1" type="noConversion"/>
  </si>
  <si>
    <t>Pult (kgf)</t>
    <phoneticPr fontId="1" type="noConversion"/>
  </si>
  <si>
    <t>Brace Design Check</t>
    <phoneticPr fontId="1" type="noConversion"/>
  </si>
  <si>
    <t>r(m)</t>
  </si>
  <si>
    <t>λ</t>
  </si>
  <si>
    <t>Pn (kgf)</t>
    <phoneticPr fontId="1" type="noConversion"/>
  </si>
  <si>
    <t>Outside Beam Demand</t>
    <phoneticPr fontId="1" type="noConversion"/>
  </si>
  <si>
    <t>Outside Beam Design Check</t>
    <phoneticPr fontId="1" type="noConversion"/>
  </si>
  <si>
    <t>Mn (kgf-m)</t>
    <phoneticPr fontId="1" type="noConversion"/>
  </si>
  <si>
    <t>DCR of P</t>
    <phoneticPr fontId="1" type="noConversion"/>
  </si>
  <si>
    <t>DCR of M</t>
    <phoneticPr fontId="1" type="noConversion"/>
  </si>
  <si>
    <t>DCR</t>
    <phoneticPr fontId="1" type="noConversion"/>
  </si>
  <si>
    <t>Column Demand</t>
    <phoneticPr fontId="1" type="noConversion"/>
  </si>
  <si>
    <t>Column Design Check</t>
    <phoneticPr fontId="1" type="noConversion"/>
  </si>
  <si>
    <t>H450X400X25X40</t>
  </si>
  <si>
    <t>H390X300X10X16</t>
    <phoneticPr fontId="1" type="noConversion"/>
  </si>
  <si>
    <t>H600X400X19X40</t>
    <phoneticPr fontId="1" type="noConversion"/>
  </si>
  <si>
    <t>HSS300X300X16</t>
    <phoneticPr fontId="1" type="noConversion"/>
  </si>
  <si>
    <t>Lateral force on BRBF(kgf)</t>
  </si>
  <si>
    <t>0.9FyAc (kgf)</t>
  </si>
  <si>
    <t>Tmax(kgf)</t>
  </si>
  <si>
    <t>Cmax(kgf)</t>
  </si>
  <si>
    <t>Eeff</t>
  </si>
  <si>
    <t>Tmax (kgf)</t>
    <phoneticPr fontId="1" type="noConversion"/>
  </si>
  <si>
    <t>Cmax (kgf)</t>
    <phoneticPr fontId="1" type="noConversion"/>
  </si>
  <si>
    <t>H390X300X10X16</t>
    <phoneticPr fontId="1" type="noConversion"/>
  </si>
  <si>
    <t>Beam demand</t>
    <phoneticPr fontId="1" type="noConversion"/>
  </si>
  <si>
    <t>V (kgf)</t>
    <phoneticPr fontId="1" type="noConversion"/>
  </si>
  <si>
    <t>Mmax (kgf-m)</t>
    <phoneticPr fontId="1" type="noConversion"/>
  </si>
  <si>
    <t>BRB demand</t>
    <phoneticPr fontId="1" type="noConversion"/>
  </si>
  <si>
    <t>Story</t>
    <phoneticPr fontId="1" type="noConversion"/>
  </si>
  <si>
    <t>Lateral force (kgf)</t>
    <phoneticPr fontId="1" type="noConversion"/>
  </si>
  <si>
    <t>Cumulative lateral force (kgf)</t>
    <phoneticPr fontId="1" type="noConversion"/>
  </si>
  <si>
    <t>Brace force(kgf)</t>
    <phoneticPr fontId="10" type="noConversion"/>
  </si>
  <si>
    <t>3F</t>
    <phoneticPr fontId="1" type="noConversion"/>
  </si>
  <si>
    <t>2F</t>
    <phoneticPr fontId="1" type="noConversion"/>
  </si>
  <si>
    <t>1F</t>
    <phoneticPr fontId="1" type="noConversion"/>
  </si>
  <si>
    <t>BRB Design</t>
    <phoneticPr fontId="1" type="noConversion"/>
  </si>
  <si>
    <t>Ac (m^2)</t>
    <phoneticPr fontId="1" type="noConversion"/>
  </si>
  <si>
    <t>Brace length (m)</t>
    <phoneticPr fontId="1" type="noConversion"/>
  </si>
  <si>
    <t>Keff (kgf/m)</t>
    <phoneticPr fontId="1" type="noConversion"/>
  </si>
  <si>
    <t>Column demand</t>
    <phoneticPr fontId="1" type="noConversion"/>
  </si>
  <si>
    <t>Tmax (kgf)</t>
    <phoneticPr fontId="1" type="noConversion"/>
  </si>
  <si>
    <t>Cmax (kgf)</t>
    <phoneticPr fontId="1" type="noConversion"/>
  </si>
  <si>
    <t>maximum compression force in column (kgf)</t>
    <phoneticPr fontId="1" type="noConversion"/>
  </si>
  <si>
    <t>maximum tension force in column (kgf)</t>
    <phoneticPr fontId="1" type="noConversion"/>
  </si>
  <si>
    <t>Pn (kgf)</t>
    <phoneticPr fontId="1" type="noConversion"/>
  </si>
  <si>
    <t>DCR (comp.)</t>
    <phoneticPr fontId="1" type="noConversion"/>
  </si>
  <si>
    <t>DCR (tens.)</t>
    <phoneticPr fontId="1" type="noConversion"/>
  </si>
  <si>
    <t>H390X300X10X16</t>
    <phoneticPr fontId="1" type="noConversion"/>
  </si>
  <si>
    <t>Beam design</t>
    <phoneticPr fontId="1" type="noConversion"/>
  </si>
  <si>
    <t>Core section (mm)</t>
    <phoneticPr fontId="1" type="noConversion"/>
  </si>
  <si>
    <t>Story</t>
  </si>
  <si>
    <t>4F</t>
  </si>
  <si>
    <t>3F</t>
  </si>
  <si>
    <t>2F</t>
  </si>
  <si>
    <t>Beam</t>
    <phoneticPr fontId="1" type="noConversion"/>
  </si>
  <si>
    <t>Wide Flange Column</t>
    <phoneticPr fontId="1" type="noConversion"/>
  </si>
  <si>
    <t>Box Column at corner</t>
    <phoneticPr fontId="1" type="noConversion"/>
  </si>
  <si>
    <t>H720×350×22×50</t>
    <phoneticPr fontId="1" type="noConversion"/>
  </si>
  <si>
    <t>HSS750×750×30</t>
    <phoneticPr fontId="1" type="noConversion"/>
  </si>
  <si>
    <t>HSS750×750×32</t>
    <phoneticPr fontId="1" type="noConversion"/>
  </si>
  <si>
    <t>H600×350×19×40</t>
    <phoneticPr fontId="1" type="noConversion"/>
  </si>
  <si>
    <t>H700×350×19×40</t>
    <phoneticPr fontId="1" type="noConversion"/>
  </si>
  <si>
    <t xml:space="preserve">Maximum Axial Force </t>
    <phoneticPr fontId="1" type="noConversion"/>
  </si>
  <si>
    <t>DCR of Pc</t>
    <phoneticPr fontId="1" type="noConversion"/>
  </si>
  <si>
    <t>DCR of Pt</t>
    <phoneticPr fontId="1" type="noConversion"/>
  </si>
  <si>
    <t>DCR t</t>
    <phoneticPr fontId="1" type="noConversion"/>
  </si>
  <si>
    <t>DCR c</t>
    <phoneticPr fontId="1" type="noConversion"/>
  </si>
  <si>
    <t>Transverse direction</t>
    <phoneticPr fontId="1" type="noConversion"/>
  </si>
  <si>
    <t xml:space="preserve">  LINEASSIGN  "B1"  "STORY3"  SECTION "H600X350X19X40"  ANG  0  MAXSTASPC 0.5  CARDINALPT 8    MESH "POINTSANDLINES"  </t>
  </si>
  <si>
    <t xml:space="preserve">  LINEASSIGN  "B2"  "STORY3"  SECTION "H600X350X19X40"  ANG  0  MAXSTASPC 0.5  CARDINALPT 8    MESH "POINTSANDLINES"  </t>
  </si>
  <si>
    <t xml:space="preserve">  LINEASSIGN  "B3"  "STORY3"  SECTION "H600X350X19X40"  ANG  0  MAXSTASPC 0.5  CARDINALPT 8    MESH "POINTSANDLINES"  </t>
  </si>
  <si>
    <t xml:space="preserve">  LINEASSIGN  "B4"  "STORY3"  SECTION "H600X350X19X40"  ANG  0  MAXSTASPC 0.5  CARDINALPT 8    MESH "POINTSANDLINES"  </t>
  </si>
  <si>
    <t xml:space="preserve">  LINEASSIGN  "B5"  "STORY3"  SECTION "H600X350X19X40"  ANG  0  MAXSTASPC 0.5  CARDINALPT 8    MESH "POINTSANDLINES"  </t>
  </si>
  <si>
    <t xml:space="preserve">  LINEASSIGN  "B6"  "STORY3"  SECTION "H600X350X19X40"  ANG  0  MAXSTASPC 0.5  CARDINALPT 8    MESH "POINTSANDLINES"  </t>
  </si>
  <si>
    <t xml:space="preserve">  LINEASSIGN  "B7"  "STORY3"  SECTION "H600X350X19X40"  ANG  0  MAXSTASPC 0.5  CARDINALPT 8    MESH "POINTSANDLINES"  </t>
  </si>
  <si>
    <t xml:space="preserve">  LINEASSIGN  "B8"  "STORY3"  SECTION "H600X350X19X40"  ANG  0  MAXSTASPC 0.5  CARDINALPT 8    MESH "POINTSANDLINES"  </t>
  </si>
  <si>
    <t xml:space="preserve">  LINEASSIGN  "B1"  "STORY4"  SECTION "H600X350X19X40"  ANG  0  MAXSTASPC 0.5  CARDINALPT 8    MESH "POINTSANDLINES"  </t>
  </si>
  <si>
    <t xml:space="preserve">  LINEASSIGN  "B2"  "STORY4"  SECTION "H600X350X19X40"  ANG  0  MAXSTASPC 0.5  CARDINALPT 8    MESH "POINTSANDLINES"  </t>
  </si>
  <si>
    <t xml:space="preserve">  LINEASSIGN  "B3"  "STORY4"  SECTION "H600X350X19X40"  ANG  0  MAXSTASPC 0.5  CARDINALPT 8    MESH "POINTSANDLINES"  </t>
  </si>
  <si>
    <t xml:space="preserve">  LINEASSIGN  "B4"  "STORY4"  SECTION "H600X350X19X40"  ANG  0  MAXSTASPC 0.5  CARDINALPT 8    MESH "POINTSANDLINES"  </t>
  </si>
  <si>
    <t xml:space="preserve">  LINEASSIGN  "B5"  "STORY4"  SECTION "H600X350X19X40"  ANG  0  MAXSTASPC 0.5  CARDINALPT 8    MESH "POINTSANDLINES"  </t>
  </si>
  <si>
    <t xml:space="preserve">  LINEASSIGN  "B6"  "STORY4"  SECTION "H600X350X19X40"  ANG  0  MAXSTASPC 0.5  CARDINALPT 8    MESH "POINTSANDLINES"  </t>
  </si>
  <si>
    <t xml:space="preserve">  LINEASSIGN  "B7"  "STORY4"  SECTION "H600X350X19X40"  ANG  0  MAXSTASPC 0.5  CARDINALPT 8    MESH "POINTSANDLINES"  </t>
  </si>
  <si>
    <t xml:space="preserve">  LINEASSIGN  "B8"  "STORY4"  SECTION "H600X350X19X40"  ANG  0  MAXSTASPC 0.5  CARDINALPT 8    MESH "POINTSANDLINES"  </t>
  </si>
  <si>
    <t xml:space="preserve">  LINEASSIGN  "B34"  "STORY4"  SECTION "H442X400X22X36"  ANG  0  MAXSTASPC 0.5  CARDINALPT 8    MESH "POINTSANDLINES"  </t>
  </si>
  <si>
    <t xml:space="preserve">  LINEASSIGN  "B35"  "STORY4"  SECTION "H390X300X10X16"  ANG  0  MAXSTASPC 0.5  CARDINALPT 8    MESH "POINTSANDLINES"  </t>
  </si>
  <si>
    <t xml:space="preserve">  LINEASSIGN  "B36"  "STORY4"  SECTION "H390X300X10X16"  ANG  0  MAXSTASPC 0.5  CARDINALPT 8    MESH "POINTSANDLINES"  </t>
  </si>
  <si>
    <t xml:space="preserve">  LINEASSIGN  "B37"  "STORY4"  SECTION "H442X400X22X36"  ANG  0  MAXSTASPC 0.5  CARDINALPT 8    MESH "POINTSANDLINES"  </t>
  </si>
  <si>
    <t xml:space="preserve">  LINEASSIGN  "B34"  "STORY3"  SECTION "H442X400X22X36"  ANG  0  MAXSTASPC 0.5  CARDINALPT 8    MESH "POINTSANDLINES"  </t>
  </si>
  <si>
    <t xml:space="preserve">  LINEASSIGN  "B35"  "STORY3"  SECTION "H390X300X10X16"  ANG  0  MAXSTASPC 0.5  CARDINALPT 8    MESH "POINTSANDLINES"  </t>
  </si>
  <si>
    <t xml:space="preserve">  LINEASSIGN  "B36"  "STORY3"  SECTION "H390X300X10X16"  ANG  0  MAXSTASPC 0.5  CARDINALPT 8    MESH "POINTSANDLINES"  </t>
  </si>
  <si>
    <t xml:space="preserve">  LINEASSIGN  "B37"  "STORY3"  SECTION "H442X400X22X36"  ANG  0  MAXSTASPC 0.5  CARDINALPT 8    MESH "POINTSANDLINES"  </t>
  </si>
  <si>
    <t xml:space="preserve">  LINEASSIGN  "B34"  "STORY2"  SECTION "H450X400X25X40"  ANG  0  MAXSTASPC 0.5  CARDINALPT 8    MESH "POINTSANDLINES"  </t>
  </si>
  <si>
    <t xml:space="preserve">  LINEASSIGN  "B35"  "STORY2"  SECTION "H390X300X10X16"  ANG  0  MAXSTASPC 0.5  CARDINALPT 8    MESH "POINTSANDLINES"  </t>
  </si>
  <si>
    <t xml:space="preserve">  LINEASSIGN  "B36"  "STORY2"  SECTION "H390X300X10X16"  ANG  0  MAXSTASPC 0.5  CARDINALPT 8    MESH "POINTSANDLINES"  </t>
  </si>
  <si>
    <t xml:space="preserve">  LINEASSIGN  "B37"  "STORY2"  SECTION "H450X400X25X40"  ANG  0  MAXSTASPC 0.5  CARDINALPT 8    MESH "POINTSANDLINES"  </t>
  </si>
  <si>
    <t xml:space="preserve">  LINEASSIGN  "B1"  "STORY2"  SECTION "H700X350X19X40"  ANG  0  MAXSTASPC 0.5  CARDINALPT 8    MESH "POINTSANDLINES"  </t>
  </si>
  <si>
    <t xml:space="preserve">  LINEASSIGN  "B2"  "STORY2"  SECTION "H700X350X19X40"  ANG  0  MAXSTASPC 0.5  CARDINALPT 8    MESH "POINTSANDLINES"  </t>
  </si>
  <si>
    <t xml:space="preserve">  LINEASSIGN  "B3"  "STORY2"  SECTION "H700X350X19X40"  ANG  0  MAXSTASPC 0.5  CARDINALPT 8    MESH "POINTSANDLINES"  </t>
  </si>
  <si>
    <t xml:space="preserve">  LINEASSIGN  "B4"  "STORY2"  SECTION "H700X350X19X40"  ANG  0  MAXSTASPC 0.5  CARDINALPT 8    MESH "POINTSANDLINES"  </t>
  </si>
  <si>
    <t xml:space="preserve">  LINEASSIGN  "B5"  "STORY2"  SECTION "H700X350X19X40"  ANG  0  MAXSTASPC 0.5  CARDINALPT 8    MESH "POINTSANDLINES"  </t>
  </si>
  <si>
    <t xml:space="preserve">  LINEASSIGN  "B6"  "STORY2"  SECTION "H700X350X19X40"  ANG  0  MAXSTASPC 0.5  CARDINALPT 8    MESH "POINTSANDLINES"  </t>
  </si>
  <si>
    <t xml:space="preserve">  LINEASSIGN  "B7"  "STORY2"  SECTION "H700X350X19X40"  ANG  0  MAXSTASPC 0.5  CARDINALPT 8    MESH "POINTSANDLINES"  </t>
  </si>
  <si>
    <t xml:space="preserve">  LINEASSIGN  "B8"  "STORY2"  SECTION "H700X350X19X40"  ANG  0  MAXSTASPC 0.5  CARDINALPT 8    MESH "POINTSANDLINES"  </t>
  </si>
  <si>
    <t xml:space="preserve">  LINEASSIGN  "B1"  "STORY1"  SECTION "H700X350X19X40"  ANG  0  MAXSTASPC 0.5  CARDINALPT 8    MESH "POINTSANDLINES"  </t>
  </si>
  <si>
    <t xml:space="preserve">  LINEASSIGN  "B2"  "STORY1"  SECTION "H700X350X19X40"  ANG  0  MAXSTASPC 0.5  CARDINALPT 8    MESH "POINTSANDLINES"  </t>
  </si>
  <si>
    <t xml:space="preserve">  LINEASSIGN  "B3"  "STORY1"  SECTION "H700X350X19X40"  ANG  0  MAXSTASPC 0.5  CARDINALPT 8    MESH "POINTSANDLINES"  </t>
  </si>
  <si>
    <t xml:space="preserve">  LINEASSIGN  "B4"  "STORY1"  SECTION "H700X350X19X40"  ANG  0  MAXSTASPC 0.5  CARDINALPT 8    MESH "POINTSANDLINES"  </t>
  </si>
  <si>
    <t xml:space="preserve">  LINEASSIGN  "B5"  "STORY1"  SECTION "H700X350X19X40"  ANG  0  MAXSTASPC 0.5  CARDINALPT 8    MESH "POINTSANDLINES"  </t>
  </si>
  <si>
    <t xml:space="preserve">  LINEASSIGN  "B6"  "STORY1"  SECTION "H700X350X19X40"  ANG  0  MAXSTASPC 0.5  CARDINALPT 8    MESH "POINTSANDLINES"  </t>
  </si>
  <si>
    <t xml:space="preserve">  LINEASSIGN  "B7"  "STORY1"  SECTION "H700X350X19X40"  ANG  0  MAXSTASPC 0.5  CARDINALPT 8    MESH "POINTSANDLINES"  </t>
  </si>
  <si>
    <t xml:space="preserve">  LINEASSIGN  "B8"  "STORY1"  SECTION "H700X350X19X40"  ANG  0  MAXSTASPC 0.5  CARDINALPT 8    MESH "POINTSANDLINES"  </t>
  </si>
  <si>
    <t xml:space="preserve">  LINEASSIGN  "B34"  "STORY1"  SECTION "H450X400X25X40"  ANG  0  MAXSTASPC 0.5  CARDINALPT 8    MESH "POINTSANDLINES"  </t>
  </si>
  <si>
    <t xml:space="preserve">  LINEASSIGN  "B35"  "STORY1"  SECTION "H390X300X10X16"  ANG  0  MAXSTASPC 0.5  CARDINALPT 8    MESH "POINTSANDLINES"  </t>
  </si>
  <si>
    <t xml:space="preserve">  LINEASSIGN  "B36"  "STORY1"  SECTION "H390X300X10X16"  ANG  0  MAXSTASPC 0.5  CARDINALPT 8    MESH "POINTSANDLINES"  </t>
  </si>
  <si>
    <t xml:space="preserve">  LINEASSIGN  "B37"  "STORY1"  SECTION "H450X400X25X40"  ANG  0  MAXSTASPC 0.5  CARDINALPT 8    MESH "POINTSANDLINES"  </t>
  </si>
  <si>
    <t xml:space="preserve">  LINEASSIGN  "C2"  "STORY1"  SECTION "H720X350X22X50"  ANG  0  MINNUMSTA 3  MESH "POINTSANDLINES"  </t>
  </si>
  <si>
    <t xml:space="preserve">  LINEASSIGN  "C2"  "STORY2"  SECTION "H720X350X22X50"  ANG  0  MINNUMSTA 3  MESH "POINTSANDLINES"  </t>
  </si>
  <si>
    <t xml:space="preserve">  LINEASSIGN  "C2"  "STORY3"  SECTION "H720X350X22X50"  ANG  0  MINNUMSTA 3  MESH "POINTSANDLINES"  </t>
  </si>
  <si>
    <t xml:space="preserve">  LINEASSIGN  "C2"  "STORY4"  SECTION "H720X350X22X50"  ANG  0  MINNUMSTA 3  MESH "POINTSANDLINES"  </t>
  </si>
  <si>
    <t xml:space="preserve">  LINEASSIGN  "C3"  "STORY1"  SECTION "H720X350X22X50"  ANG  0  MINNUMSTA 3  MESH "POINTSANDLINES"  </t>
  </si>
  <si>
    <t xml:space="preserve">  LINEASSIGN  "C3"  "STORY2"  SECTION "H720X350X22X50"  ANG  0  MINNUMSTA 3  MESH "POINTSANDLINES"  </t>
  </si>
  <si>
    <t xml:space="preserve">  LINEASSIGN  "C3"  "STORY3"  SECTION "H720X350X22X50"  ANG  0  MINNUMSTA 3  MESH "POINTSANDLINES"  </t>
  </si>
  <si>
    <t xml:space="preserve">  LINEASSIGN  "C3"  "STORY4"  SECTION "H720X350X22X50"  ANG  0  MINNUMSTA 3  MESH "POINTSANDLINES"  </t>
  </si>
  <si>
    <t xml:space="preserve">  LINEASSIGN  "C4"  "STORY1"  SECTION "H720X350X22X50"  ANG  0  MINNUMSTA 3  MESH "POINTSANDLINES"  </t>
  </si>
  <si>
    <t xml:space="preserve">  LINEASSIGN  "C4"  "STORY2"  SECTION "H720X350X22X50"  ANG  0  MINNUMSTA 3  MESH "POINTSANDLINES"  </t>
  </si>
  <si>
    <t xml:space="preserve">  LINEASSIGN  "C4"  "STORY3"  SECTION "H720X350X22X50"  ANG  0  MINNUMSTA 3  MESH "POINTSANDLINES"  </t>
  </si>
  <si>
    <t xml:space="preserve">  LINEASSIGN  "C4"  "STORY4"  SECTION "H720X350X22X50"  ANG  0  MINNUMSTA 3  MESH "POINTSANDLINES"  </t>
  </si>
  <si>
    <t xml:space="preserve">  LINEASSIGN  "C7"  "STORY1"  SECTION "H720X350X22X50"  ANG  0  MINNUMSTA 3  MESH "POINTSANDLINES"  </t>
  </si>
  <si>
    <t xml:space="preserve">  LINEASSIGN  "C7"  "STORY2"  SECTION "H720X350X22X50"  ANG  0  MINNUMSTA 3  MESH "POINTSANDLINES"  </t>
  </si>
  <si>
    <t xml:space="preserve">  LINEASSIGN  "C7"  "STORY3"  SECTION "H720X350X22X50"  ANG  0  MINNUMSTA 3  MESH "POINTSANDLINES"  </t>
  </si>
  <si>
    <t xml:space="preserve">  LINEASSIGN  "C7"  "STORY4"  SECTION "H720X350X22X50"  ANG  0  MINNUMSTA 3  MESH "POINTSANDLINES"  </t>
  </si>
  <si>
    <t xml:space="preserve">  LINEASSIGN  "C8"  "STORY1"  SECTION "H720X350X22X50"  ANG  0  MINNUMSTA 3  MESH "POINTSANDLINES"  </t>
  </si>
  <si>
    <t xml:space="preserve">  LINEASSIGN  "C8"  "STORY2"  SECTION "H720X350X22X50"  ANG  0  MINNUMSTA 3  MESH "POINTSANDLINES"  </t>
  </si>
  <si>
    <t xml:space="preserve">  LINEASSIGN  "C8"  "STORY3"  SECTION "H720X350X22X50"  ANG  0  MINNUMSTA 3  MESH "POINTSANDLINES"  </t>
  </si>
  <si>
    <t xml:space="preserve">  LINEASSIGN  "C8"  "STORY4"  SECTION "H720X350X22X50"  ANG  0  MINNUMSTA 3  MESH "POINTSANDLINES"  </t>
  </si>
  <si>
    <t xml:space="preserve">  LINEASSIGN  "C9"  "STORY1"  SECTION "H720X350X22X50"  ANG  0  MINNUMSTA 3  MESH "POINTSANDLINES"  </t>
  </si>
  <si>
    <t xml:space="preserve">  LINEASSIGN  "C9"  "STORY2"  SECTION "H720X350X22X50"  ANG  0  MINNUMSTA 3  MESH "POINTSANDLINES"  </t>
  </si>
  <si>
    <t xml:space="preserve">  LINEASSIGN  "C9"  "STORY3"  SECTION "H720X350X22X50"  ANG  0  MINNUMSTA 3  MESH "POINTSANDLINES"  </t>
  </si>
  <si>
    <t xml:space="preserve">  LINEASSIGN  "C9"  "STORY4"  SECTION "H720X350X22X50"  ANG  0  MINNUMSTA 3  MESH "POINTSANDLINES"  </t>
  </si>
  <si>
    <t xml:space="preserve">  LINEASSIGN  "C11"  "STORY1"  SECTION "H600X350X19X40"  ANG  90  MINNUMSTA 3  MESH "POINTSANDLINES"  </t>
  </si>
  <si>
    <t xml:space="preserve">  LINEASSIGN  "C11"  "STORY2"  SECTION "H600X350X19X40"  ANG  90  MINNUMSTA 3  MESH "POINTSANDLINES"  </t>
  </si>
  <si>
    <t xml:space="preserve">  LINEASSIGN  "C11"  "STORY3"  SECTION "WIDEFLANGE"  ANG  90  MINNUMSTA 3  MESH "POINTSANDLINES"  </t>
  </si>
  <si>
    <t xml:space="preserve">  LINEASSIGN  "C11"  "STORY4"  SECTION "WIDEFLANGE"  ANG  90  MINNUMSTA 3  MESH "POINTSANDLINES"  </t>
  </si>
  <si>
    <t xml:space="preserve">  LINEASSIGN  "C12"  "STORY1"  SECTION "H600X350X19X40"  ANG  90  MINNUMSTA 3  MESH "POINTSANDLINES"  </t>
  </si>
  <si>
    <t xml:space="preserve">  LINEASSIGN  "C12"  "STORY2"  SECTION "H600X350X19X40"  ANG  90  MINNUMSTA 3  MESH "POINTSANDLINES"  </t>
  </si>
  <si>
    <t xml:space="preserve">  LINEASSIGN  "C12"  "STORY3"  SECTION "WIDEFLANGE"  ANG  90  MINNUMSTA 3  MESH "POINTSANDLINES"  </t>
  </si>
  <si>
    <t xml:space="preserve">  LINEASSIGN  "C12"  "STORY4"  SECTION "WIDEFLANGE"  ANG  90  MINNUMSTA 3  MESH "POINTSANDLINES"  </t>
  </si>
  <si>
    <t xml:space="preserve">  LINEASSIGN  "C13"  "STORY1"  SECTION "H442X400X22X36"  ANG  90  MINNUMSTA 3  MESH "POINTSANDLINES"  </t>
  </si>
  <si>
    <t xml:space="preserve">  LINEASSIGN  "C13"  "STORY2"  SECTION "H442X400X22X36"  ANG  90  MINNUMSTA 3  MESH "POINTSANDLINES"  </t>
  </si>
  <si>
    <t xml:space="preserve">  LINEASSIGN  "C13"  "STORY3"  SECTION "WIDEFLANGE"  ANG  90  MINNUMSTA 3  MESH "POINTSANDLINES"  </t>
  </si>
  <si>
    <t xml:space="preserve">  LINEASSIGN  "C13"  "STORY4"  SECTION "WIDEFLANGE"  ANG  90  MINNUMSTA 3  MESH "POINTSANDLINES"  </t>
  </si>
  <si>
    <t xml:space="preserve">  LINEASSIGN  "C14"  "STORY1"  SECTION "H442X400X22X36"  ANG  90  MINNUMSTA 3  MESH "POINTSANDLINES"  </t>
  </si>
  <si>
    <t xml:space="preserve">  LINEASSIGN  "C14"  "STORY2"  SECTION "H442X400X22X36"  ANG  90  MINNUMSTA 3  MESH "POINTSANDLINES"  </t>
  </si>
  <si>
    <t xml:space="preserve">  LINEASSIGN  "C14"  "STORY3"  SECTION "WIDEFLANGE"  ANG  90  MINNUMSTA 3  MESH "POINTSANDLINES"  </t>
  </si>
  <si>
    <t xml:space="preserve">  LINEASSIGN  "C14"  "STORY4"  SECTION "WIDEFLANGE"  ANG  90  MINNUMSTA 3  MESH "POINTSANDLINES"  </t>
  </si>
  <si>
    <t xml:space="preserve">  LINEASSIGN  "C15"  "STORY1"  SECTION "H442X400X22X36"  ANG  90  MINNUMSTA 3  MESH "POINTSANDLINES"  </t>
  </si>
  <si>
    <t xml:space="preserve">  LINEASSIGN  "C15"  "STORY2"  SECTION "H442X400X22X36"  ANG  90  MINNUMSTA 3  MESH "POINTSANDLINES"  </t>
  </si>
  <si>
    <t xml:space="preserve">  LINEASSIGN  "C15"  "STORY3"  SECTION "WIDEFLANGE"  ANG  90  MINNUMSTA 3  MESH "POINTSANDLINES"  </t>
  </si>
  <si>
    <t xml:space="preserve">  LINEASSIGN  "C15"  "STORY4"  SECTION "WIDEFLANGE"  ANG  90  MINNUMSTA 3  MESH "POINTSANDLINES"  </t>
  </si>
  <si>
    <t xml:space="preserve">  LINEASSIGN  "C16"  "STORY1"  SECTION "H442X400X22X36"  ANG  90  MINNUMSTA 3  MESH "POINTSANDLINES"  </t>
  </si>
  <si>
    <t xml:space="preserve">  LINEASSIGN  "C16"  "STORY2"  SECTION "H442X400X22X36"  ANG  90  MINNUMSTA 3  MESH "POINTSANDLINES"  </t>
  </si>
  <si>
    <t xml:space="preserve">  LINEASSIGN  "C16"  "STORY3"  SECTION "WIDEFLANGE"  ANG  90  MINNUMSTA 3  MESH "POINTSANDLINES"  </t>
  </si>
  <si>
    <t xml:space="preserve">  LINEASSIGN  "C16"  "STORY4"  SECTION "WIDEFLANGE"  ANG  90  MINNUMSTA 3  MESH "POINTSANDLINES"  </t>
  </si>
  <si>
    <t xml:space="preserve">  LINEASSIGN  "C17"  "STORY1"  SECTION "H600X400X19X40"  ANG  90  MINNUMSTA 3  MESH "POINTSANDLINES"  </t>
  </si>
  <si>
    <t xml:space="preserve">  LINEASSIGN  "C17"  "STORY2"  SECTION "H600X400X19X40"  ANG  90  MINNUMSTA 3  MESH "POINTSANDLINES"  </t>
  </si>
  <si>
    <t xml:space="preserve">  LINEASSIGN  "C17"  "STORY3"  SECTION "WIDEFLANGE"  ANG  90  MINNUMSTA 3  MESH "POINTSANDLINES"  </t>
  </si>
  <si>
    <t xml:space="preserve">  LINEASSIGN  "C17"  "STORY4"  SECTION "WIDEFLANGE"  ANG  90  MINNUMSTA 3  MESH "POINTSANDLINES"  </t>
  </si>
  <si>
    <t xml:space="preserve">  LINEASSIGN  "C18"  "STORY1"  SECTION "H600X400X19X40"  ANG  90  MINNUMSTA 3  MESH "POINTSANDLINES"  </t>
  </si>
  <si>
    <t xml:space="preserve">  LINEASSIGN  "C18"  "STORY2"  SECTION "H600X400X19X40"  ANG  90  MINNUMSTA 3  MESH "POINTSANDLINES"  </t>
  </si>
  <si>
    <t xml:space="preserve">  LINEASSIGN  "C18"  "STORY3"  SECTION "WIDEFLANGE"  ANG  90  MINNUMSTA 3  MESH "POINTSANDLINES"  </t>
  </si>
  <si>
    <t xml:space="preserve">  LINEASSIGN  "C18"  "STORY4"  SECTION "WIDEFLANGE"  ANG  90  MINNUMSTA 3  MESH "POINTSANDLINES"  </t>
  </si>
  <si>
    <t xml:space="preserve">  LINEASSIGN  "C1"  "STORY1"  SECTION "HSS750X750X32"  ANG  0  MINNUMSTA 3  MESH "POINTSANDLINES"  </t>
  </si>
  <si>
    <t xml:space="preserve">  LINEASSIGN  "C1"  "STORY2"  SECTION "HSS750X750X32"  ANG  0  MINNUMSTA 3  MESH "POINTSANDLINES"  </t>
  </si>
  <si>
    <t xml:space="preserve">  LINEASSIGN  "C1"  "STORY3"  SECTION "HSS750X750X30"  ANG  0  MINNUMSTA 3  MESH "POINTSANDLINES"  </t>
  </si>
  <si>
    <t xml:space="preserve">  LINEASSIGN  "C1"  "STORY4"  SECTION "HSS750X750X30"  ANG  0  MINNUMSTA 3  MESH "POINTSANDLINES"  </t>
  </si>
  <si>
    <t xml:space="preserve">  LINEASSIGN  "C5"  "STORY1"  SECTION "HSS750X750X32"  ANG  0  MINNUMSTA 3  MESH "POINTSANDLINES"  </t>
  </si>
  <si>
    <t xml:space="preserve">  LINEASSIGN  "C5"  "STORY2"  SECTION "HSS750X750X32"  ANG  0  MINNUMSTA 3  MESH "POINTSANDLINES"  </t>
  </si>
  <si>
    <t xml:space="preserve">  LINEASSIGN  "C5"  "STORY3"  SECTION "HSS750X750X30"  ANG  0  MINNUMSTA 3  MESH "POINTSANDLINES"  </t>
  </si>
  <si>
    <t xml:space="preserve">  LINEASSIGN  "C5"  "STORY4"  SECTION "HSS750X750X30"  ANG  0  MINNUMSTA 3  MESH "POINTSANDLINES"  </t>
  </si>
  <si>
    <t xml:space="preserve">  LINEASSIGN  "C6"  "STORY1"  SECTION "HSS750X750X32"  ANG  0  MINNUMSTA 3  MESH "POINTSANDLINES"  </t>
  </si>
  <si>
    <t xml:space="preserve">  LINEASSIGN  "C6"  "STORY2"  SECTION "HSS750X750X32"  ANG  0  MINNUMSTA 3  MESH "POINTSANDLINES"  </t>
  </si>
  <si>
    <t xml:space="preserve">  LINEASSIGN  "C6"  "STORY3"  SECTION "HSS750X750X30"  ANG  0  MINNUMSTA 3  MESH "POINTSANDLINES"  </t>
  </si>
  <si>
    <t xml:space="preserve">  LINEASSIGN  "C6"  "STORY4"  SECTION "HSS750X750X30"  ANG  0  MINNUMSTA 3  MESH "POINTSANDLINES"  </t>
  </si>
  <si>
    <t xml:space="preserve">  LINEASSIGN  "C10"  "STORY1"  SECTION "HSS750X750X32"  ANG  0  MINNUMSTA 3  MESH "POINTSANDLINES"  </t>
  </si>
  <si>
    <t xml:space="preserve">  LINEASSIGN  "C10"  "STORY2"  SECTION "HSS750X750X32"  ANG  0  MINNUMSTA 3  MESH "POINTSANDLINES"  </t>
  </si>
  <si>
    <t xml:space="preserve">  LINEASSIGN  "C10"  "STORY3"  SECTION "HSS750X750X30"  ANG  0  MINNUMSTA 3  MESH "POINTSANDLINES"  </t>
  </si>
  <si>
    <t xml:space="preserve">  LINEASSIGN  "C10"  "STORY4"  SECTION "HSS750X750X30"  ANG  0  MINNUMSTA 3  MESH "POINTSANDLINES"  </t>
  </si>
  <si>
    <t xml:space="preserve">  LINEASSIGN  "D1"  "STORY4"  SECTION "BOX"  ANG  0  MINNUMSTA 3  RELEASE "TI M2I M2J M3I M3J"  MESH "POINTSANDLINES"  </t>
  </si>
  <si>
    <t xml:space="preserve">  LINEASSIGN  "D1"  "STORY3"  SECTION "BOX"  ANG  0  MINNUMSTA 3  RELEASE "TI M2I M2J M3I M3J"  MESH "POINTSANDLINES"  </t>
  </si>
  <si>
    <t xml:space="preserve">  LINEASSIGN  "D1"  "STORY2"  SECTION "BOX"  ANG  0  MINNUMSTA 3  RELEASE "TI M2I M2J M3I M3J"  MESH "POINTSANDLINES"  </t>
  </si>
  <si>
    <t xml:space="preserve">  LINEASSIGN  "D1"  "STORY1"  SECTION "BOX"  ANG  0  MINNUMSTA 3  RELEASE "TI M2I M2J M3I M3J"  MESH "POINTSANDLINES"  </t>
  </si>
  <si>
    <t xml:space="preserve">  LINEASSIGN  "D2"  "STORY4"  SECTION "BOX"  ANG  0  MINNUMSTA 3  RELEASE "TI M2I M2J M3I M3J"  MESH "POINTSANDLINES"  </t>
  </si>
  <si>
    <t xml:space="preserve">  LINEASSIGN  "D2"  "STORY3"  SECTION "BOX"  ANG  0  MINNUMSTA 3  RELEASE "TI M2I M2J M3I M3J"  MESH "POINTSANDLINES"  </t>
  </si>
  <si>
    <t xml:space="preserve">  LINEASSIGN  "D2"  "STORY2"  SECTION "BOX"  ANG  0  MINNUMSTA 3  RELEASE "TI M2I M2J M3I M3J"  MESH "POINTSANDLINES"  </t>
  </si>
  <si>
    <t xml:space="preserve">  LINEASSIGN  "D2"  "STORY1"  SECTION "BOX"  ANG  0  MINNUMSTA 3  RELEASE "TI M2I M2J M3I M3J"  MESH "POINTSANDLINES"  </t>
  </si>
  <si>
    <t xml:space="preserve">  LINEASSIGN  "D7"  "STORY4"  SECTION "BOX"  ANG  0  MINNUMSTA 3  RELEASE "TI M2I M2J M3I M3J"  MESH "POINTSANDLINES"  </t>
  </si>
  <si>
    <t xml:space="preserve">  LINEASSIGN  "D7"  "STORY3"  SECTION "BOX"  ANG  0  MINNUMSTA 3  RELEASE "TI M2I M2J M3I M3J"  MESH "POINTSANDLINES"  </t>
  </si>
  <si>
    <t xml:space="preserve">  LINEASSIGN  "D7"  "STORY2"  SECTION "BOX"  ANG  0  MINNUMSTA 3  RELEASE "TI M2I M2J M3I M3J"  MESH "POINTSANDLINES"  </t>
  </si>
  <si>
    <t xml:space="preserve">  LINEASSIGN  "D7"  "STORY1"  SECTION "BOX"  ANG  0  MINNUMSTA 3  RELEASE "TI M2I M2J M3I M3J"  MESH "POINTSANDLINES"  </t>
  </si>
  <si>
    <t xml:space="preserve">  LINEASSIGN  "D8"  "STORY4"  SECTION "BOX"  ANG  0  MINNUMSTA 3  RELEASE "TI M2I M2J M3I M3J"  MESH "POINTSANDLINES"  </t>
  </si>
  <si>
    <t xml:space="preserve">  LINEASSIGN  "D8"  "STORY3"  SECTION "BOX"  ANG  0  MINNUMSTA 3  RELEASE "TI M2I M2J M3I M3J"  MESH "POINTSANDLINES"  </t>
  </si>
  <si>
    <t xml:space="preserve">  LINEASSIGN  "D8"  "STORY2"  SECTION "BOX"  ANG  0  MINNUMSTA 3  RELEASE "TI M2I M2J M3I M3J"  MESH "POINTSANDLINES"  </t>
  </si>
  <si>
    <t xml:space="preserve">  LINEASSIGN  "D8"  "STORY1"  SECTION "BOX"  ANG  0  MINNUMSTA 3  RELEASE "TI M2I M2J M3I M3J"  MESH "POINTSANDLINES"  </t>
  </si>
  <si>
    <t xml:space="preserve">  LINEASSIGN  "D5"  "STORY4"  SECTION "BRB55"  ANG  0  MINNUMSTA 3  RELEASE "TI M2I M2J M3I M3J"  MESH "POINTSANDLINES"  </t>
  </si>
  <si>
    <t xml:space="preserve">  LINEASSIGN  "D6"  "STORY4"  SECTION "BRB55"  ANG  0  MINNUMSTA 3  RELEASE "TI M2I M2J M3I M3J"  MESH "POINTSANDLINES"  </t>
  </si>
  <si>
    <t xml:space="preserve">  LINEASSIGN  "D5"  "STORY3"  SECTION "BRB55"  ANG  0  MINNUMSTA 3  RELEASE "TI M2I M2J M3I M3J"  MESH "POINTSANDLINES"  </t>
  </si>
  <si>
    <t xml:space="preserve">  LINEASSIGN  "D6"  "STORY3"  SECTION "BRB55"  ANG  0  MINNUMSTA 3  RELEASE "TI M2I M2J M3I M3J"  MESH "POINTSANDLINES"  </t>
  </si>
  <si>
    <t xml:space="preserve">  LINEASSIGN  "D5"  "STORY2"  SECTION "BRB65"  ANG  0  MINNUMSTA 3  RELEASE "TI M2I M2J M3I M3J"  MESH "POINTSANDLINES"  </t>
  </si>
  <si>
    <t xml:space="preserve">  LINEASSIGN  "D6"  "STORY2"  SECTION "BRB65"  ANG  0  MINNUMSTA 3  RELEASE "TI M2I M2J M3I M3J"  MESH "POINTSANDLINES"  </t>
  </si>
  <si>
    <t xml:space="preserve">  LINEASSIGN  "D5"  "STORY1"  SECTION "BRB65"  ANG  0  MINNUMSTA 3  RELEASE "TI M2I M2J M3I M3J"  MESH "POINTSANDLINES"  </t>
  </si>
  <si>
    <t xml:space="preserve">  LINEASSIGN  "D6"  "STORY1"  SECTION "BRB65"  ANG  0  MINNUMSTA 3  RELEASE "TI M2I M2J M3I M3J"  MESH "POINTSANDLINES"  </t>
  </si>
  <si>
    <t xml:space="preserve">  LINEASSIGN  "D3"  "STORY4"  SECTION "BRB55"  ANG  0  MINNUMSTA 3  RELEASE "TI M2I M2J M3I M3J"  MESH "POINTSANDLINES"  </t>
  </si>
  <si>
    <t xml:space="preserve">  LINEASSIGN  "D4"  "STORY4"  SECTION "BRB55"  ANG  0  MINNUMSTA 3  RELEASE "TI M2I M2J M3I M3J"  MESH "POINTSANDLINES"  </t>
  </si>
  <si>
    <t xml:space="preserve">  LINEASSIGN  "D3"  "STORY3"  SECTION "BRB55"  ANG  0  MINNUMSTA 3  RELEASE "TI M2I M2J M3I M3J"  MESH "POINTSANDLINES"  </t>
  </si>
  <si>
    <t xml:space="preserve">  LINEASSIGN  "D4"  "STORY3"  SECTION "BRB55"  ANG  0  MINNUMSTA 3  RELEASE "TI M2I M2J M3I M3J"  MESH "POINTSANDLINES"  </t>
  </si>
  <si>
    <t xml:space="preserve">  LINEASSIGN  "D3"  "STORY2"  SECTION "BRB65"  ANG  0  MINNUMSTA 3  RELEASE "TI M2I M2J M3I M3J"  MESH "POINTSANDLINES"  </t>
  </si>
  <si>
    <t xml:space="preserve">  LINEASSIGN  "D4"  "STORY2"  SECTION "BRB65"  ANG  0  MINNUMSTA 3  RELEASE "TI M2I M2J M3I M3J"  MESH "POINTSANDLINES"  </t>
  </si>
  <si>
    <t xml:space="preserve">  LINEASSIGN  "D3"  "STORY1"  SECTION "BRB65"  ANG  0  MINNUMSTA 3  RELEASE "TI M2I M2J M3I M3J"  MESH "POINTSANDLINES"  </t>
  </si>
  <si>
    <t xml:space="preserve">  LINEASSIGN  "D4"  "STORY1"  SECTION "BRB65"  ANG  0  MINNUMSTA 3  RELEASE "TI M2I M2J M3I M3J"  MESH "POINTSANDLINES"  </t>
  </si>
  <si>
    <t xml:space="preserve">  LINEASSIGN  "C2"  "STORY1"  SECTION "HSS750X750X32"  ANG  0  MINNUMSTA 3  MESH "POINTSANDLINES"  </t>
  </si>
  <si>
    <t xml:space="preserve">  LINEASSIGN  "C2"  "STORY2"  SECTION "HSS750X750X32"  ANG  0  MINNUMSTA 3  MESH "POINTSANDLINES"  </t>
  </si>
  <si>
    <t xml:space="preserve">  LINEASSIGN  "C2"  "STORY3"  SECTION "HSS750X750X30"  ANG  0  MINNUMSTA 3  MESH "POINTSANDLINES"  </t>
  </si>
  <si>
    <t xml:space="preserve">  LINEASSIGN  "C2"  "STORY4"  SECTION "HSS750X750X30"  ANG  0  MINNUMSTA 3  MESH "POINTSANDLINES"  </t>
  </si>
  <si>
    <t xml:space="preserve">  LINEASSIGN  "C5"  "STORY4"  SECTION "H720X350X22X50"  ANG  0  MINNUMSTA 3  MESH "POINTSANDLINES"  </t>
  </si>
  <si>
    <t xml:space="preserve">  LINEASSIGN  "C5"  "STORY3"  SECTION "H720X350X22X50"  ANG  0  MINNUMSTA 3  MESH "POINTSANDLINES"  </t>
  </si>
  <si>
    <t xml:space="preserve">  LINEASSIGN  "C5"  "STORY2"  SECTION "H720X350X22X50"  ANG  0  MINNUMSTA 3  MESH "POINTSANDLINES"  </t>
  </si>
  <si>
    <t xml:space="preserve">  LINEASSIGN  "C5"  "STORY1"  SECTION "H720X350X22X50"  ANG  0  MINNUMSTA 3  MESH "POINTSANDLINES"  </t>
  </si>
  <si>
    <t xml:space="preserve">  LINEASSIGN  "C7"  "STORY1"  SECTION "HSS750X750X32"  ANG  0  MINNUMSTA 3  MESH "POINTSANDLINES"  </t>
  </si>
  <si>
    <t xml:space="preserve">  LINEASSIGN  "C7"  "STORY2"  SECTION "HSS750X750X32"  ANG  0  MINNUMSTA 3  MESH "POINTSANDLINES"  </t>
  </si>
  <si>
    <t xml:space="preserve">  LINEASSIGN  "C7"  "STORY3"  SECTION "HSS750X750X30"  ANG  0  MINNUMSTA 3  MESH "POINTSANDLINES"  </t>
  </si>
  <si>
    <t xml:space="preserve">  LINEASSIGN  "C7"  "STORY4"  SECTION "HSS750X750X30"  ANG  0  MINNUMSTA 3  MESH "POINTSANDLINES"  </t>
  </si>
  <si>
    <t xml:space="preserve">  LINEASSIGN  "C10"  "STORY4"  SECTION "H720X350X22X50"  ANG  0  MINNUMSTA 3  MESH "POINTSANDLINES"  </t>
  </si>
  <si>
    <t xml:space="preserve">  LINEASSIGN  "C10"  "STORY3"  SECTION "H720X350X22X50"  ANG  0  MINNUMSTA 3  MESH "POINTSANDLINES"  </t>
  </si>
  <si>
    <t xml:space="preserve">  LINEASSIGN  "C10"  "STORY2"  SECTION "H720X350X22X50"  ANG  0  MINNUMSTA 3  MESH "POINTSANDLINES"  </t>
  </si>
  <si>
    <t xml:space="preserve">  LINEASSIGN  "C10"  "STORY1"  SECTION "H720X350X22X50"  ANG  0  MINNUMSTA 3  MESH "POINTSANDLINES"  </t>
  </si>
  <si>
    <t xml:space="preserve">  LINEASSIGN  "C12"  "STORY3"  SECTION "H390X300X10X16"  ANG  90  MINNUMSTA 3  MESH "POINTSANDLINES"  </t>
  </si>
  <si>
    <t xml:space="preserve">  LINEASSIGN  "C12"  "STORY4"  SECTION "H390X300X10X16"  ANG  90  MINNUMSTA 3  MESH "POINTSANDLINES"  </t>
  </si>
  <si>
    <t xml:space="preserve">  LINEASSIGN  "C11"  "STORY4"  SECTION "H390X300X10X16"  ANG  90  MINNUMSTA 3  MESH "POINTSANDLINES"  </t>
  </si>
  <si>
    <t xml:space="preserve">  LINEASSIGN  "C11"  "STORY3"  SECTION "H390X300X10X16"  ANG  90  MINNUMSTA 3  MESH "POINTSANDLINES"  </t>
  </si>
  <si>
    <t xml:space="preserve">  LINEASSIGN  "B10"  "STORY4"  SECTION "H442X400X22X36"  ANG  0  MAXSTASPC 0.5  CARDINALPT 8    MESH "POINTSANDLINES"  </t>
  </si>
  <si>
    <t xml:space="preserve">  LINEASSIGN  "B10"  "STORY3"  SECTION "H442X400X22X36"  ANG  0  MAXSTASPC 0.5  CARDINALPT 8    MESH "POINTSANDLINES"  </t>
  </si>
  <si>
    <t xml:space="preserve">  LINEASSIGN  "B10"  "STORY2"  SECTION "H450X400X25X40"  ANG  0  MAXSTASPC 0.5  CARDINALPT 8    MESH "POINTSANDLINES"  </t>
  </si>
  <si>
    <t xml:space="preserve">  LINEASSIGN  "B10"  "STORY1"  SECTION "H450X400X25X40"  ANG  0  MAXSTASPC 0.5  CARDINALPT 8    MESH "POINTSANDLINES"  </t>
  </si>
  <si>
    <t xml:space="preserve">  LINEASSIGN  "D1"  "STORY4"  SECTION "HSS300X300X16"  ANG  0  MINNUMSTA 3  RELEASE "TI M2I M2J M3I M3J"  MESH "POINTSANDLINES"  </t>
  </si>
  <si>
    <t xml:space="preserve">  LINEASSIGN  "D2"  "STORY4"  SECTION "HSS300X300X16"  ANG  0  MINNUMSTA 3  RELEASE "TI M2I M2J M3I M3J"  MESH "POINTSANDLINES"  </t>
  </si>
  <si>
    <t xml:space="preserve">  LINEASSIGN  "D1"  "STORY3"  SECTION "HSS300X300X16"  ANG  0  MINNUMSTA 3  RELEASE "TI M2I M2J M3I M3J"  MESH "POINTSANDLINES"  </t>
  </si>
  <si>
    <t xml:space="preserve">  LINEASSIGN  "D2"  "STORY3"  SECTION "HSS300X300X16"  ANG  0  MINNUMSTA 3  RELEASE "TI M2I M2J M3I M3J"  MESH "POINTSANDLINES"  </t>
  </si>
  <si>
    <t xml:space="preserve">  LINEASSIGN  "D1"  "STORY2"  SECTION "HSS300X300X16"  ANG  0  MINNUMSTA 3  RELEASE "TI M2I M2J M3I M3J"  MESH "POINTSANDLINES"  </t>
  </si>
  <si>
    <t xml:space="preserve">  LINEASSIGN  "D2"  "STORY2"  SECTION "HSS300X300X16"  ANG  0  MINNUMSTA 3  RELEASE "TI M2I M2J M3I M3J"  MESH "POINTSANDLINES"  </t>
  </si>
  <si>
    <t xml:space="preserve">  LINEASSIGN  "D1"  "STORY1"  SECTION "HSS300X300X16"  ANG  0  MINNUMSTA 3  RELEASE "TI M2I M2J M3I M3J"  MESH "POINTSANDLINES"  </t>
  </si>
  <si>
    <t xml:space="preserve">  LINEASSIGN  "D2"  "STORY1"  SECTION "HSS300X300X16"  ANG  0  MINNUMSTA 3  RELEASE "TI M2I M2J M3I M3J"  MESH "POINTSANDLINES"  </t>
  </si>
  <si>
    <t xml:space="preserve">  LINEASSIGN  "C13"  "STORY1"  SECTION "H600X350X19X40"  ANG  90  MINNUMSTA 3  MESH "POINTSANDLINES"  </t>
  </si>
  <si>
    <t xml:space="preserve">  LINEASSIGN  "C13"  "STORY2"  SECTION "H600X350X19X40"  ANG  90  MINNUMSTA 3  MESH "POINTSANDLINES"  </t>
  </si>
  <si>
    <t xml:space="preserve">  LINEASSIGN  "C14"  "STORY1"  SECTION "H600X350X19X40"  ANG  90  MINNUMSTA 3  MESH "POINTSANDLINES"  </t>
  </si>
  <si>
    <t xml:space="preserve">  LINEASSIGN  "C14"  "STORY2"  SECTION "H600X350X19X40"  ANG  90  MINNUMSTA 3  MESH "POINTSANDLINES"  </t>
  </si>
  <si>
    <t xml:space="preserve">  LINEASSIGN  "C14"  "STORY3"  SECTION "H390X300X10X16"  ANG  90  MINNUMSTA 3  MESH "POINTSANDLINES"  </t>
  </si>
  <si>
    <t xml:space="preserve">  LINEASSIGN  "C14"  "STORY4"  SECTION "H390X300X10X16"  ANG  90  MINNUMSTA 3  MESH "POINTSANDLINES"  </t>
  </si>
  <si>
    <t xml:space="preserve">  LINEASSIGN  "C13"  "STORY4"  SECTION "H390X300X10X16"  ANG  90  MINNUMSTA 3  MESH "POINTSANDLINES"  </t>
  </si>
  <si>
    <t xml:space="preserve">  LINEASSIGN  "C13"  "STORY3"  SECTION "H390X300X10X16"  ANG  90  MINNUMSTA 3  MESH "POINTSANDLINES"  </t>
  </si>
  <si>
    <t xml:space="preserve">  LINEASSIGN  "B11"  "STORY4"  SECTION "H442X400X22X36"  ANG  0  MAXSTASPC 0.5  CARDINALPT 8    MESH "POINTSANDLINES"  </t>
  </si>
  <si>
    <t xml:space="preserve">  LINEASSIGN  "B11"  "STORY3"  SECTION "H442X400X22X36"  ANG  0  MAXSTASPC 0.5  CARDINALPT 8    MESH "POINTSANDLINES"  </t>
  </si>
  <si>
    <t xml:space="preserve">  LINEASSIGN  "B11"  "STORY2"  SECTION "H450X400X25X40"  ANG  0  MAXSTASPC 0.5  CARDINALPT 8    MESH "POINTSANDLINES"  </t>
  </si>
  <si>
    <t xml:space="preserve">  LINEASSIGN  "B11"  "STORY1"  SECTION "H450X400X25X40"  ANG  0  MAXSTASPC 0.5  CARDINALPT 8    MESH "POINTSANDLINES"  </t>
  </si>
  <si>
    <t xml:space="preserve">  LINEASSIGN  "D3"  "STORY4"  SECTION "HSS300X300X16"  ANG  0  MINNUMSTA 3  RELEASE "TI M2I M2J M3I M3J"  MESH "POINTSANDLINES"  </t>
  </si>
  <si>
    <t xml:space="preserve">  LINEASSIGN  "D4"  "STORY4"  SECTION "HSS300X300X16"  ANG  0  MINNUMSTA 3  RELEASE "TI M2I M2J M3I M3J"  MESH "POINTSANDLINES"  </t>
  </si>
  <si>
    <t xml:space="preserve">  LINEASSIGN  "D3"  "STORY3"  SECTION "HSS300X300X16"  ANG  0  MINNUMSTA 3  RELEASE "TI M2I M2J M3I M3J"  MESH "POINTSANDLINES"  </t>
  </si>
  <si>
    <t xml:space="preserve">  LINEASSIGN  "D4"  "STORY3"  SECTION "HSS300X300X16"  ANG  0  MINNUMSTA 3  RELEASE "TI M2I M2J M3I M3J"  MESH "POINTSANDLINES"  </t>
  </si>
  <si>
    <t xml:space="preserve">  LINEASSIGN  "D3"  "STORY2"  SECTION "HSS300X300X16"  ANG  0  MINNUMSTA 3  RELEASE "TI M2I M2J M3I M3J"  MESH "POINTSANDLINES"  </t>
  </si>
  <si>
    <t xml:space="preserve">  LINEASSIGN  "D4"  "STORY2"  SECTION "HSS300X300X16"  ANG  0  MINNUMSTA 3  RELEASE "TI M2I M2J M3I M3J"  MESH "POINTSANDLINES"  </t>
  </si>
  <si>
    <t xml:space="preserve">  LINEASSIGN  "D3"  "STORY1"  SECTION "HSS300X300X16"  ANG  0  MINNUMSTA 3  RELEASE "TI M2I M2J M3I M3J"  MESH "POINTSANDLINES"  </t>
  </si>
  <si>
    <t xml:space="preserve">  LINEASSIGN  "D4"  "STORY1"  SECTION "HSS300X300X16"  ANG  0  MINNUMSTA 3  RELEASE "TI M2I M2J M3I M3J"  MESH "POINTSANDLINES"  </t>
  </si>
  <si>
    <t xml:space="preserve">  LINEASSIGN  "B12"  "STORY4"  SECTION "H390X300X10X16"  ANG  0  MAXSTASPC 0.5  CARDINALPT 8    MESH "POINTSANDLINES"  </t>
  </si>
  <si>
    <t xml:space="preserve">  LINEASSIGN  "B12"  "STORY3"  SECTION "H390X300X10X16"  ANG  0  MAXSTASPC 0.5  CARDINALPT 8    MESH "POINTSANDLINES"  </t>
  </si>
  <si>
    <t xml:space="preserve">  LINEASSIGN  "B12"  "STORY2"  SECTION "H390X300X10X16"  ANG  0  MAXSTASPC 0.5  CARDINALPT 8    MESH "POINTSANDLINES"  </t>
  </si>
  <si>
    <t xml:space="preserve">  LINEASSIGN  "B12"  "STORY1"  SECTION "H390X300X10X16"  ANG  0  MAXSTASPC 0.5  CARDINALPT 8    MESH "POINTSANDLINES"  </t>
  </si>
  <si>
    <t xml:space="preserve">  LINEASSIGN  "C15"  "STORY4"  SECTION "H390X300X10X16"  ANG  90  MINNUMSTA 3  MESH "POINTSANDLINES"  </t>
  </si>
  <si>
    <t xml:space="preserve">  LINEASSIGN  "C15"  "STORY3"  SECTION "H390X300X10X16"  ANG  90  MINNUMSTA 3  MESH "POINTSANDLINES"  </t>
  </si>
  <si>
    <t xml:space="preserve">  LINEASSIGN  "C16"  "STORY4"  SECTION "H390X300X10X16"  ANG  90  MINNUMSTA 3  MESH "POINTSANDLINES"  </t>
  </si>
  <si>
    <t xml:space="preserve">  LINEASSIGN  "C16"  "STORY3"  SECTION "H390X300X10X16"  ANG  90  MINNUMSTA 3  MESH "POINTSANDLINES"  </t>
  </si>
  <si>
    <t xml:space="preserve">  LINEASSIGN  "B13"  "STORY4"  SECTION "H390X300X10X16"  ANG  0  MAXSTASPC 0.5  CARDINALPT 8    MESH "POINTSANDLINES"  </t>
  </si>
  <si>
    <t xml:space="preserve">  LINEASSIGN  "B13"  "STORY3"  SECTION "H390X300X10X16"  ANG  0  MAXSTASPC 0.5  CARDINALPT 8    MESH "POINTSANDLINES"  </t>
  </si>
  <si>
    <t xml:space="preserve">  LINEASSIGN  "B13"  "STORY2"  SECTION "H390X300X10X16"  ANG  0  MAXSTASPC 0.5  CARDINALPT 8    MESH "POINTSANDLINES"  </t>
  </si>
  <si>
    <t xml:space="preserve">  LINEASSIGN  "B13"  "STORY1"  SECTION "H390X300X10X16"  ANG  0  MAXSTASPC 0.5  CARDINALPT 8    MESH "POINTSANDLINES"  </t>
  </si>
  <si>
    <t xml:space="preserve">  LINEASSIGN  "C17"  "STORY4"  SECTION "H390X300X10X16"  ANG  90  MINNUMSTA 3  MESH "POINTSANDLINES"  </t>
  </si>
  <si>
    <t xml:space="preserve">  LINEASSIGN  "C17"  "STORY3"  SECTION "H390X300X10X16"  ANG  90  MINNUMSTA 3  MESH "POINTSANDLINES"  </t>
  </si>
  <si>
    <t xml:space="preserve">  LINEASSIGN  "C18"  "STORY4"  SECTION "H390X300X10X16"  ANG  90  MINNUMSTA 3  MESH "POINTSANDLINES"  </t>
  </si>
  <si>
    <t xml:space="preserve">  LINEASSIGN  "C18"  "STORY3"  SECTION "H390X300X10X16"  ANG  90  MINNUMSTA 3  MESH "POINTSANDLINES"  </t>
  </si>
  <si>
    <t xml:space="preserve">  LINEASSIGN  "C17"  "STORY2"  SECTION "H442X400X22X36"  ANG  90  MINNUMSTA 3  MESH "POINTSANDLINES"  </t>
  </si>
  <si>
    <t xml:space="preserve">  LINEASSIGN  "C17"  "STORY1"  SECTION "H442X400X22X36"  ANG  90  MINNUMSTA 3  MESH "POINTSANDLINES"  </t>
  </si>
  <si>
    <t xml:space="preserve">  LINEASSIGN  "C18"  "STORY2"  SECTION "H442X400X22X36"  ANG  90  MINNUMSTA 3  MESH "POINTSANDLINES"  </t>
  </si>
  <si>
    <t xml:space="preserve">  LINEASSIGN  "C18"  "STORY1"  SECTION "H442X400X22X36"  ANG  90  MINNUMSTA 3  MESH "POINTSANDLINES"  </t>
  </si>
  <si>
    <t xml:space="preserve">  LINEASSIGN  "D7"  "STORY4"  SECTION "BRB55"  ANG  0  MINNUMSTA 3  RELEASE "TI M2I M2J M3I M3J"  MESH "POINTSANDLINES"  </t>
  </si>
  <si>
    <t xml:space="preserve">  LINEASSIGN  "D8"  "STORY4"  SECTION "BRB55"  ANG  0  MINNUMSTA 3  RELEASE "TI M2I M2J M3I M3J"  MESH "POINTSANDLINES"  </t>
  </si>
  <si>
    <t xml:space="preserve">  LINEASSIGN  "D7"  "STORY3"  SECTION "BRB55"  ANG  0  MINNUMSTA 3  RELEASE "TI M2I M2J M3I M3J"  MESH "POINTSANDLINES"  </t>
  </si>
  <si>
    <t xml:space="preserve">  LINEASSIGN  "D8"  "STORY3"  SECTION "BRB55"  ANG  0  MINNUMSTA 3  RELEASE "TI M2I M2J M3I M3J"  MESH "POINTSANDLINES"  </t>
  </si>
  <si>
    <t xml:space="preserve">  LINEASSIGN  "D7"  "STORY2"  SECTION "BRB65"  ANG  0  MINNUMSTA 3  RELEASE "TI M2I M2J M3I M3J"  MESH "POINTSANDLINES"  </t>
  </si>
  <si>
    <t xml:space="preserve">  LINEASSIGN  "D8"  "STORY2"  SECTION "BRB65"  ANG  0  MINNUMSTA 3  RELEASE "TI M2I M2J M3I M3J"  MESH "POINTSANDLINES"  </t>
  </si>
  <si>
    <t xml:space="preserve">  LINEASSIGN  "D7"  "STORY1"  SECTION "BRB65"  ANG  0  MINNUMSTA 3  RELEASE "TI M2I M2J M3I M3J"  MESH "POINTSANDLINES"  </t>
  </si>
  <si>
    <t xml:space="preserve">  LINEASSIGN  "D8"  "STORY1"  SECTION "BRB65"  ANG  0  MINNUMSTA 3  RELEASE "TI M2I M2J M3I M3J"  MESH "POINTSANDLINES"  </t>
  </si>
  <si>
    <r>
      <t>uniform load(tf/m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</si>
  <si>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>weight(tf)</t>
    <phoneticPr fontId="1" type="noConversion"/>
  </si>
  <si>
    <r>
      <t>uniform load(tf/m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</si>
  <si>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r>
      <t>area(m</t>
    </r>
    <r>
      <rPr>
        <sz val="12"/>
        <color rgb="FF9C6500"/>
        <rFont val="新細明體"/>
        <family val="1"/>
        <charset val="136"/>
        <scheme val="minor"/>
      </rPr>
      <t>2)</t>
    </r>
    <phoneticPr fontId="1" type="noConversion"/>
  </si>
  <si>
    <t>note</t>
    <phoneticPr fontId="1" type="noConversion"/>
  </si>
  <si>
    <t>假設 3 成開窗</t>
    <phoneticPr fontId="1" type="noConversion"/>
  </si>
  <si>
    <t>In the longitudinal direction</t>
  </si>
  <si>
    <t>V(tf)</t>
  </si>
  <si>
    <t>Story weight(kgf)</t>
  </si>
  <si>
    <t>Story height(m)</t>
  </si>
  <si>
    <t>Wxhx(kgf-m)</t>
  </si>
  <si>
    <t>Lateral force(tf)</t>
  </si>
  <si>
    <t>1F</t>
  </si>
  <si>
    <t>Total</t>
  </si>
  <si>
    <t>In the transverse direction</t>
  </si>
  <si>
    <t>Lateral Force</t>
    <phoneticPr fontId="1" type="noConversion"/>
  </si>
  <si>
    <t>Vx</t>
    <phoneticPr fontId="1" type="noConversion"/>
  </si>
  <si>
    <t>Vy</t>
    <phoneticPr fontId="1" type="noConversion"/>
  </si>
  <si>
    <t>Story weight(tf)</t>
    <phoneticPr fontId="1" type="noConversion"/>
  </si>
  <si>
    <t>uniform load(tf/m2)</t>
    <phoneticPr fontId="1" type="noConversion"/>
  </si>
  <si>
    <t>area(m2)</t>
    <phoneticPr fontId="1" type="noConversion"/>
  </si>
  <si>
    <r>
      <rPr>
        <sz val="12"/>
        <color theme="1"/>
        <rFont val="微軟正黑體"/>
        <family val="2"/>
        <charset val="136"/>
      </rPr>
      <t>假設</t>
    </r>
    <r>
      <rPr>
        <sz val="12"/>
        <color theme="1"/>
        <rFont val="Calibri"/>
        <family val="2"/>
      </rPr>
      <t xml:space="preserve"> 3 </t>
    </r>
    <r>
      <rPr>
        <sz val="12"/>
        <color theme="1"/>
        <rFont val="微軟正黑體"/>
        <family val="2"/>
        <charset val="136"/>
      </rPr>
      <t>成開窗</t>
    </r>
    <phoneticPr fontId="1" type="noConversion"/>
  </si>
  <si>
    <r>
      <rPr>
        <sz val="12"/>
        <color theme="1"/>
        <rFont val="微軟正黑體"/>
        <family val="2"/>
        <charset val="136"/>
      </rPr>
      <t>假設</t>
    </r>
    <r>
      <rPr>
        <sz val="12"/>
        <color theme="1"/>
        <rFont val="Calibri"/>
        <family val="2"/>
      </rPr>
      <t xml:space="preserve"> 3 </t>
    </r>
    <r>
      <rPr>
        <sz val="12"/>
        <color theme="1"/>
        <rFont val="微軟正黑體"/>
        <family val="2"/>
        <charset val="136"/>
      </rPr>
      <t>成開窗</t>
    </r>
    <phoneticPr fontId="1" type="noConversion"/>
  </si>
  <si>
    <r>
      <t>W</t>
    </r>
    <r>
      <rPr>
        <b/>
        <vertAlign val="subscript"/>
        <sz val="12"/>
        <color theme="1"/>
        <rFont val="Calibri"/>
        <family val="2"/>
      </rPr>
      <t>x</t>
    </r>
    <r>
      <rPr>
        <b/>
        <sz val="12"/>
        <color theme="1"/>
        <rFont val="Calibri"/>
        <family val="2"/>
      </rPr>
      <t>h</t>
    </r>
    <r>
      <rPr>
        <b/>
        <vertAlign val="subscript"/>
        <sz val="12"/>
        <color theme="1"/>
        <rFont val="Calibri"/>
        <family val="2"/>
      </rPr>
      <t>x</t>
    </r>
    <r>
      <rPr>
        <b/>
        <sz val="12"/>
        <color theme="1"/>
        <rFont val="Calibri"/>
        <family val="2"/>
      </rPr>
      <t>(tf-m)</t>
    </r>
    <phoneticPr fontId="1" type="noConversion"/>
  </si>
  <si>
    <t>Mass(tf)</t>
    <phoneticPr fontId="1" type="noConversion"/>
  </si>
  <si>
    <r>
      <t>Mass Moment of Inertia in x dir. (tf-m</t>
    </r>
    <r>
      <rPr>
        <vertAlign val="superscript"/>
        <sz val="12"/>
        <color rgb="FF9C6500"/>
        <rFont val="新細明體 (本文)"/>
        <family val="3"/>
        <charset val="136"/>
      </rPr>
      <t>2</t>
    </r>
    <r>
      <rPr>
        <sz val="12"/>
        <color rgb="FF9C6500"/>
        <rFont val="新細明體"/>
        <family val="2"/>
        <charset val="136"/>
        <scheme val="minor"/>
      </rPr>
      <t>)</t>
    </r>
    <phoneticPr fontId="1" type="noConversion"/>
  </si>
  <si>
    <r>
      <t>Mass Moment of Inertia in y dir. (tf-m</t>
    </r>
    <r>
      <rPr>
        <vertAlign val="superscript"/>
        <sz val="12"/>
        <color rgb="FF9C6500"/>
        <rFont val="新細明體 (本文)"/>
        <charset val="136"/>
      </rPr>
      <t>2</t>
    </r>
    <r>
      <rPr>
        <sz val="12"/>
        <color rgb="FF9C6500"/>
        <rFont val="新細明體"/>
        <family val="2"/>
        <charset val="136"/>
        <scheme val="minor"/>
      </rPr>
      <t>)</t>
    </r>
    <phoneticPr fontId="1" type="noConversion"/>
  </si>
  <si>
    <r>
      <t>Mass Moment of Inertia in z dir. (tf-m</t>
    </r>
    <r>
      <rPr>
        <vertAlign val="superscript"/>
        <sz val="12"/>
        <color rgb="FF9C6500"/>
        <rFont val="新細明體 (本文)"/>
        <charset val="136"/>
      </rPr>
      <t>2</t>
    </r>
    <r>
      <rPr>
        <sz val="12"/>
        <color rgb="FF9C6500"/>
        <rFont val="新細明體"/>
        <family val="2"/>
        <charset val="136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</si>
</sst>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00"/>
    <numFmt numFmtId="178" formatCode="0.00000"/>
    <numFmt numFmtId="181" formatCode="0.00_);[Red]\(0.00\)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9C6500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vertAlign val="superscript"/>
      <sz val="12"/>
      <color rgb="FF9C6500"/>
      <name val="新細明體 (本文)"/>
      <family val="3"/>
      <charset val="136"/>
    </font>
    <font>
      <vertAlign val="superscript"/>
      <sz val="12"/>
      <color rgb="FF9C6500"/>
      <name val="新細明體 (本文)"/>
      <charset val="136"/>
    </font>
    <font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11" fillId="9" borderId="0" xfId="4">
      <alignment vertical="center"/>
    </xf>
    <xf numFmtId="0" fontId="13" fillId="10" borderId="1" xfId="5" applyBorder="1" applyAlignment="1">
      <alignment horizontal="center" vertical="center"/>
    </xf>
    <xf numFmtId="0" fontId="11" fillId="9" borderId="3" xfId="4" applyBorder="1" applyAlignment="1">
      <alignment horizontal="center" vertical="center"/>
    </xf>
    <xf numFmtId="0" fontId="11" fillId="9" borderId="4" xfId="4" applyBorder="1" applyAlignment="1">
      <alignment horizontal="center" vertical="center"/>
    </xf>
    <xf numFmtId="0" fontId="0" fillId="0" borderId="6" xfId="0" applyBorder="1">
      <alignment vertical="center"/>
    </xf>
    <xf numFmtId="0" fontId="14" fillId="11" borderId="8" xfId="6" applyBorder="1" applyAlignment="1">
      <alignment horizontal="center" vertical="center"/>
    </xf>
    <xf numFmtId="0" fontId="0" fillId="0" borderId="9" xfId="0" applyBorder="1">
      <alignment vertical="center"/>
    </xf>
    <xf numFmtId="0" fontId="16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7" fillId="9" borderId="3" xfId="4" applyFont="1" applyBorder="1" applyAlignment="1">
      <alignment horizontal="center" vertical="center"/>
    </xf>
    <xf numFmtId="0" fontId="17" fillId="9" borderId="4" xfId="4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>
      <alignment vertical="center"/>
    </xf>
    <xf numFmtId="0" fontId="18" fillId="10" borderId="1" xfId="5" applyFont="1" applyBorder="1" applyAlignment="1">
      <alignment horizontal="center" vertical="center"/>
    </xf>
    <xf numFmtId="0" fontId="19" fillId="11" borderId="8" xfId="6" applyFont="1" applyBorder="1" applyAlignment="1">
      <alignment horizontal="center" vertical="center"/>
    </xf>
    <xf numFmtId="0" fontId="16" fillId="0" borderId="9" xfId="0" applyFont="1" applyBorder="1">
      <alignment vertical="center"/>
    </xf>
    <xf numFmtId="0" fontId="16" fillId="0" borderId="0" xfId="0" applyFont="1" applyBorder="1">
      <alignment vertical="center"/>
    </xf>
    <xf numFmtId="2" fontId="20" fillId="0" borderId="20" xfId="0" applyNumberFormat="1" applyFont="1" applyBorder="1" applyAlignment="1">
      <alignment horizontal="center" vertical="center"/>
    </xf>
    <xf numFmtId="2" fontId="16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2" fontId="16" fillId="0" borderId="21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vertical="center"/>
    </xf>
    <xf numFmtId="0" fontId="20" fillId="0" borderId="5" xfId="2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7" fillId="9" borderId="22" xfId="4" applyFont="1" applyBorder="1" applyAlignment="1">
      <alignment horizontal="center" vertical="center"/>
    </xf>
    <xf numFmtId="0" fontId="17" fillId="9" borderId="23" xfId="4" applyFont="1" applyBorder="1" applyAlignment="1">
      <alignment horizontal="center" vertical="center"/>
    </xf>
    <xf numFmtId="0" fontId="17" fillId="9" borderId="24" xfId="4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0" fontId="20" fillId="0" borderId="7" xfId="2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9" borderId="13" xfId="4" applyFont="1" applyBorder="1" applyAlignment="1">
      <alignment horizontal="center" vertical="center"/>
    </xf>
    <xf numFmtId="0" fontId="17" fillId="9" borderId="14" xfId="4" applyFont="1" applyBorder="1" applyAlignment="1">
      <alignment horizontal="center" vertical="center"/>
    </xf>
    <xf numFmtId="0" fontId="17" fillId="9" borderId="15" xfId="4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1" fillId="9" borderId="13" xfId="4" applyBorder="1" applyAlignment="1">
      <alignment horizontal="center" vertical="center"/>
    </xf>
    <xf numFmtId="0" fontId="11" fillId="9" borderId="14" xfId="4" applyBorder="1" applyAlignment="1">
      <alignment horizontal="center" vertical="center"/>
    </xf>
    <xf numFmtId="0" fontId="11" fillId="9" borderId="15" xfId="4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9" borderId="22" xfId="4" applyBorder="1" applyAlignment="1">
      <alignment horizontal="center" vertical="center"/>
    </xf>
    <xf numFmtId="0" fontId="11" fillId="9" borderId="23" xfId="4" applyBorder="1" applyAlignment="1">
      <alignment horizontal="center" vertical="center"/>
    </xf>
    <xf numFmtId="0" fontId="11" fillId="9" borderId="23" xfId="4" applyBorder="1" applyAlignment="1">
      <alignment horizontal="center" vertical="center" wrapText="1"/>
    </xf>
    <xf numFmtId="0" fontId="11" fillId="9" borderId="24" xfId="4" applyBorder="1" applyAlignment="1">
      <alignment horizontal="center" vertical="center" wrapText="1"/>
    </xf>
    <xf numFmtId="0" fontId="6" fillId="0" borderId="15" xfId="4" applyFont="1" applyFill="1" applyBorder="1" applyAlignment="1">
      <alignment horizontal="center" vertical="center"/>
    </xf>
    <xf numFmtId="0" fontId="24" fillId="0" borderId="5" xfId="4" applyFont="1" applyFill="1" applyBorder="1" applyAlignment="1">
      <alignment horizontal="center" vertical="center"/>
    </xf>
    <xf numFmtId="0" fontId="24" fillId="0" borderId="7" xfId="4" applyFont="1" applyFill="1" applyBorder="1" applyAlignment="1">
      <alignment horizontal="center" vertical="center"/>
    </xf>
    <xf numFmtId="181" fontId="0" fillId="0" borderId="20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</cellXfs>
  <cellStyles count="7">
    <cellStyle name="20% - 輔色1" xfId="2" builtinId="30"/>
    <cellStyle name="40% - 輔色2" xfId="3" builtinId="35"/>
    <cellStyle name="一般" xfId="0" builtinId="0"/>
    <cellStyle name="中等" xfId="4" builtinId="28"/>
    <cellStyle name="好" xfId="5" builtinId="26"/>
    <cellStyle name="輔色 1" xfId="1" builtinId="29"/>
    <cellStyle name="壞" xfId="6" builtinId="27"/>
  </cellStyles>
  <dxfs count="0"/>
  <tableStyles count="0" defaultTableStyle="TableStyleMedium2" defaultPivotStyle="PivotStyleLight16"/>
  <colors>
    <mruColors>
      <color rgb="FFFFFFCC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819150</xdr:colOff>
      <xdr:row>7</xdr:row>
      <xdr:rowOff>133350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68100" y="1857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C3:J29"/>
  <sheetViews>
    <sheetView workbookViewId="0">
      <selection activeCell="G10" sqref="G10"/>
    </sheetView>
  </sheetViews>
  <sheetFormatPr baseColWidth="10" defaultColWidth="11" defaultRowHeight="16"/>
  <cols>
    <col min="1" max="2" width="11" style="56"/>
    <col min="3" max="3" width="3.83203125" style="56" bestFit="1" customWidth="1"/>
    <col min="4" max="4" width="42.6640625" style="56" bestFit="1" customWidth="1"/>
    <col min="5" max="5" width="17.83203125" style="56" bestFit="1" customWidth="1"/>
    <col min="6" max="6" width="8.1640625" style="56" bestFit="1" customWidth="1"/>
    <col min="7" max="7" width="10" style="56" bestFit="1" customWidth="1"/>
    <col min="8" max="8" width="14.1640625" style="56" bestFit="1" customWidth="1"/>
    <col min="9" max="16384" width="11" style="56"/>
  </cols>
  <sheetData>
    <row r="3" spans="3:8" ht="17" thickBot="1"/>
    <row r="4" spans="3:8">
      <c r="C4" s="57"/>
      <c r="D4" s="58" t="s">
        <v>10</v>
      </c>
      <c r="E4" s="58" t="s">
        <v>397</v>
      </c>
      <c r="F4" s="58" t="s">
        <v>398</v>
      </c>
      <c r="G4" s="58" t="s">
        <v>379</v>
      </c>
      <c r="H4" s="59" t="s">
        <v>382</v>
      </c>
    </row>
    <row r="5" spans="3:8">
      <c r="C5" s="89" t="s">
        <v>6</v>
      </c>
      <c r="D5" s="60" t="s">
        <v>0</v>
      </c>
      <c r="E5" s="60">
        <v>0.28000000000000003</v>
      </c>
      <c r="F5" s="60">
        <f>36*30</f>
        <v>1080</v>
      </c>
      <c r="G5" s="60">
        <f>E5*F5</f>
        <v>302.40000000000003</v>
      </c>
      <c r="H5" s="61"/>
    </row>
    <row r="6" spans="3:8">
      <c r="C6" s="90"/>
      <c r="D6" s="60" t="s">
        <v>1</v>
      </c>
      <c r="E6" s="60">
        <v>0.15</v>
      </c>
      <c r="F6" s="60">
        <f>36*30</f>
        <v>1080</v>
      </c>
      <c r="G6" s="60">
        <f>E6*F6</f>
        <v>162</v>
      </c>
      <c r="H6" s="61"/>
    </row>
    <row r="7" spans="3:8">
      <c r="C7" s="90"/>
      <c r="D7" s="60" t="s">
        <v>13</v>
      </c>
      <c r="E7" s="60">
        <f>0.1</f>
        <v>0.1</v>
      </c>
      <c r="F7" s="60">
        <f>(36*2+30*2)*1.4</f>
        <v>184.79999999999998</v>
      </c>
      <c r="G7" s="60">
        <f>E7*F7</f>
        <v>18.48</v>
      </c>
      <c r="H7" s="61"/>
    </row>
    <row r="8" spans="3:8">
      <c r="C8" s="90"/>
      <c r="D8" s="60" t="s">
        <v>4</v>
      </c>
      <c r="E8" s="60">
        <v>0.1</v>
      </c>
      <c r="F8" s="60">
        <f>36*30</f>
        <v>1080</v>
      </c>
      <c r="G8" s="60">
        <f>E8*F8</f>
        <v>108</v>
      </c>
      <c r="H8" s="61"/>
    </row>
    <row r="9" spans="3:8">
      <c r="C9" s="90"/>
      <c r="D9" s="60" t="s">
        <v>3</v>
      </c>
      <c r="E9" s="60">
        <v>1</v>
      </c>
      <c r="F9" s="60">
        <v>64</v>
      </c>
      <c r="G9" s="60">
        <f>E9*F9</f>
        <v>64</v>
      </c>
      <c r="H9" s="61"/>
    </row>
    <row r="10" spans="3:8">
      <c r="C10" s="91"/>
      <c r="D10" s="92" t="s">
        <v>12</v>
      </c>
      <c r="E10" s="93"/>
      <c r="F10" s="94"/>
      <c r="G10" s="62">
        <f>SUM(G5:G9)</f>
        <v>654.88000000000011</v>
      </c>
      <c r="H10" s="61"/>
    </row>
    <row r="11" spans="3:8">
      <c r="C11" s="89" t="s">
        <v>45</v>
      </c>
      <c r="D11" s="60" t="s">
        <v>0</v>
      </c>
      <c r="E11" s="60">
        <v>0.28000000000000003</v>
      </c>
      <c r="F11" s="60">
        <f>36*30</f>
        <v>1080</v>
      </c>
      <c r="G11" s="60">
        <f>E11*F11</f>
        <v>302.40000000000003</v>
      </c>
      <c r="H11" s="61"/>
    </row>
    <row r="12" spans="3:8">
      <c r="C12" s="90"/>
      <c r="D12" s="60" t="s">
        <v>1</v>
      </c>
      <c r="E12" s="60">
        <v>0.15</v>
      </c>
      <c r="F12" s="60">
        <f>36*30</f>
        <v>1080</v>
      </c>
      <c r="G12" s="60">
        <f>E12*F12</f>
        <v>162</v>
      </c>
      <c r="H12" s="61"/>
    </row>
    <row r="13" spans="3:8" ht="18">
      <c r="C13" s="90"/>
      <c r="D13" s="60" t="s">
        <v>2</v>
      </c>
      <c r="E13" s="60">
        <v>0.1</v>
      </c>
      <c r="F13" s="60">
        <f>(36*2+30*2)*4*0.7</f>
        <v>369.59999999999997</v>
      </c>
      <c r="G13" s="60">
        <f>E13*F13</f>
        <v>36.96</v>
      </c>
      <c r="H13" s="61" t="s">
        <v>399</v>
      </c>
    </row>
    <row r="14" spans="3:8">
      <c r="C14" s="90"/>
      <c r="D14" s="60" t="s">
        <v>5</v>
      </c>
      <c r="E14" s="60">
        <v>0.1</v>
      </c>
      <c r="F14" s="60">
        <f>36*30</f>
        <v>1080</v>
      </c>
      <c r="G14" s="60">
        <f>E14*F14</f>
        <v>108</v>
      </c>
      <c r="H14" s="61"/>
    </row>
    <row r="15" spans="3:8">
      <c r="C15" s="90"/>
      <c r="D15" s="60" t="s">
        <v>4</v>
      </c>
      <c r="E15" s="60">
        <v>0.1</v>
      </c>
      <c r="F15" s="60">
        <f>36*30</f>
        <v>1080</v>
      </c>
      <c r="G15" s="60">
        <f>E15*F15</f>
        <v>108</v>
      </c>
      <c r="H15" s="61"/>
    </row>
    <row r="16" spans="3:8">
      <c r="C16" s="91"/>
      <c r="D16" s="92" t="s">
        <v>12</v>
      </c>
      <c r="E16" s="93"/>
      <c r="F16" s="94"/>
      <c r="G16" s="62">
        <f>SUM(G11:G15)</f>
        <v>717.36</v>
      </c>
      <c r="H16" s="61"/>
    </row>
    <row r="17" spans="3:10">
      <c r="C17" s="89" t="s">
        <v>7</v>
      </c>
      <c r="D17" s="60" t="s">
        <v>0</v>
      </c>
      <c r="E17" s="60">
        <v>0.28000000000000003</v>
      </c>
      <c r="F17" s="60">
        <f>36*30</f>
        <v>1080</v>
      </c>
      <c r="G17" s="60">
        <f>E17*F17</f>
        <v>302.40000000000003</v>
      </c>
      <c r="H17" s="61"/>
    </row>
    <row r="18" spans="3:10">
      <c r="C18" s="90"/>
      <c r="D18" s="60" t="s">
        <v>1</v>
      </c>
      <c r="E18" s="60">
        <v>0.15</v>
      </c>
      <c r="F18" s="60">
        <f>36*30</f>
        <v>1080</v>
      </c>
      <c r="G18" s="60">
        <f>E18*F18</f>
        <v>162</v>
      </c>
      <c r="H18" s="61"/>
    </row>
    <row r="19" spans="3:10" ht="18">
      <c r="C19" s="90"/>
      <c r="D19" s="60" t="s">
        <v>2</v>
      </c>
      <c r="E19" s="60">
        <v>0.1</v>
      </c>
      <c r="F19" s="60">
        <f>(36*2+30*2)*4*0.7</f>
        <v>369.59999999999997</v>
      </c>
      <c r="G19" s="60">
        <f>E19*F19</f>
        <v>36.96</v>
      </c>
      <c r="H19" s="61" t="s">
        <v>400</v>
      </c>
    </row>
    <row r="20" spans="3:10">
      <c r="C20" s="90"/>
      <c r="D20" s="60" t="s">
        <v>5</v>
      </c>
      <c r="E20" s="60">
        <v>0.1</v>
      </c>
      <c r="F20" s="60">
        <f>36*30</f>
        <v>1080</v>
      </c>
      <c r="G20" s="60">
        <f>E20*F20</f>
        <v>108</v>
      </c>
      <c r="H20" s="61"/>
    </row>
    <row r="21" spans="3:10">
      <c r="C21" s="90"/>
      <c r="D21" s="60" t="s">
        <v>4</v>
      </c>
      <c r="E21" s="60">
        <v>0.1</v>
      </c>
      <c r="F21" s="60">
        <f>36*30</f>
        <v>1080</v>
      </c>
      <c r="G21" s="60">
        <f>E21*F21</f>
        <v>108</v>
      </c>
      <c r="H21" s="61"/>
    </row>
    <row r="22" spans="3:10">
      <c r="C22" s="91"/>
      <c r="D22" s="92" t="s">
        <v>12</v>
      </c>
      <c r="E22" s="93"/>
      <c r="F22" s="94"/>
      <c r="G22" s="62">
        <f>SUM(G17:G21)</f>
        <v>717.36</v>
      </c>
      <c r="H22" s="61"/>
    </row>
    <row r="23" spans="3:10">
      <c r="C23" s="89" t="s">
        <v>8</v>
      </c>
      <c r="D23" s="60" t="s">
        <v>0</v>
      </c>
      <c r="E23" s="60">
        <v>0.28000000000000003</v>
      </c>
      <c r="F23" s="60">
        <f>36*30</f>
        <v>1080</v>
      </c>
      <c r="G23" s="60">
        <f>E23*F23</f>
        <v>302.40000000000003</v>
      </c>
      <c r="H23" s="61"/>
    </row>
    <row r="24" spans="3:10">
      <c r="C24" s="90"/>
      <c r="D24" s="60" t="s">
        <v>1</v>
      </c>
      <c r="E24" s="60">
        <v>0.15</v>
      </c>
      <c r="F24" s="60">
        <f>36*30</f>
        <v>1080</v>
      </c>
      <c r="G24" s="60">
        <f>E24*F24</f>
        <v>162</v>
      </c>
      <c r="H24" s="61"/>
    </row>
    <row r="25" spans="3:10" ht="18">
      <c r="C25" s="90"/>
      <c r="D25" s="60" t="s">
        <v>2</v>
      </c>
      <c r="E25" s="60">
        <v>0.1</v>
      </c>
      <c r="F25" s="60">
        <f>(36*2+30*2)*4*0.7</f>
        <v>369.59999999999997</v>
      </c>
      <c r="G25" s="60">
        <f>E25*F25</f>
        <v>36.96</v>
      </c>
      <c r="H25" s="61" t="s">
        <v>399</v>
      </c>
    </row>
    <row r="26" spans="3:10">
      <c r="C26" s="90"/>
      <c r="D26" s="60" t="s">
        <v>5</v>
      </c>
      <c r="E26" s="60">
        <v>0.1</v>
      </c>
      <c r="F26" s="60">
        <f>36*30</f>
        <v>1080</v>
      </c>
      <c r="G26" s="60">
        <f>E26*F26</f>
        <v>108</v>
      </c>
      <c r="H26" s="61"/>
    </row>
    <row r="27" spans="3:10">
      <c r="C27" s="90"/>
      <c r="D27" s="60" t="s">
        <v>4</v>
      </c>
      <c r="E27" s="60">
        <v>0.1</v>
      </c>
      <c r="F27" s="60">
        <f>36*30</f>
        <v>1080</v>
      </c>
      <c r="G27" s="60">
        <f>E27*F27</f>
        <v>108</v>
      </c>
      <c r="H27" s="61"/>
    </row>
    <row r="28" spans="3:10">
      <c r="C28" s="91"/>
      <c r="D28" s="92" t="s">
        <v>12</v>
      </c>
      <c r="E28" s="93"/>
      <c r="F28" s="94"/>
      <c r="G28" s="62">
        <f>SUM(G23:G27)</f>
        <v>717.36</v>
      </c>
      <c r="H28" s="61"/>
    </row>
    <row r="29" spans="3:10" ht="17" thickBot="1">
      <c r="C29" s="95" t="s">
        <v>11</v>
      </c>
      <c r="D29" s="96"/>
      <c r="E29" s="96"/>
      <c r="F29" s="97"/>
      <c r="G29" s="63">
        <f>G10+G16+G22+G28</f>
        <v>2806.9600000000005</v>
      </c>
      <c r="H29" s="64"/>
      <c r="J29" s="56">
        <f>G29/30/36</f>
        <v>2.5990370370370375</v>
      </c>
    </row>
  </sheetData>
  <mergeCells count="9">
    <mergeCell ref="C23:C28"/>
    <mergeCell ref="D28:F28"/>
    <mergeCell ref="C29:F29"/>
    <mergeCell ref="C5:C10"/>
    <mergeCell ref="D10:F10"/>
    <mergeCell ref="C11:C16"/>
    <mergeCell ref="D16:F16"/>
    <mergeCell ref="C17:C22"/>
    <mergeCell ref="D22:F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9" sqref="D19"/>
    </sheetView>
  </sheetViews>
  <sheetFormatPr baseColWidth="10" defaultColWidth="8.83203125" defaultRowHeight="15"/>
  <cols>
    <col min="2" max="2" width="16.5" bestFit="1" customWidth="1"/>
    <col min="3" max="3" width="19" bestFit="1" customWidth="1"/>
    <col min="4" max="4" width="19.83203125" bestFit="1" customWidth="1"/>
  </cols>
  <sheetData>
    <row r="1" spans="1:4" ht="16">
      <c r="A1" s="23" t="s">
        <v>128</v>
      </c>
      <c r="B1" s="23" t="s">
        <v>132</v>
      </c>
      <c r="C1" s="23" t="s">
        <v>133</v>
      </c>
      <c r="D1" s="23" t="s">
        <v>134</v>
      </c>
    </row>
    <row r="2" spans="1:4" ht="16">
      <c r="A2" s="22" t="s">
        <v>59</v>
      </c>
      <c r="B2" s="23" t="s">
        <v>138</v>
      </c>
      <c r="C2" s="23" t="s">
        <v>135</v>
      </c>
      <c r="D2" s="23" t="s">
        <v>136</v>
      </c>
    </row>
    <row r="3" spans="1:4" ht="16">
      <c r="A3" s="22" t="s">
        <v>129</v>
      </c>
      <c r="B3" s="23" t="s">
        <v>138</v>
      </c>
      <c r="C3" s="23" t="s">
        <v>135</v>
      </c>
      <c r="D3" s="23" t="s">
        <v>136</v>
      </c>
    </row>
    <row r="4" spans="1:4" ht="16">
      <c r="A4" s="22" t="s">
        <v>130</v>
      </c>
      <c r="B4" s="23" t="s">
        <v>139</v>
      </c>
      <c r="C4" s="23" t="s">
        <v>135</v>
      </c>
      <c r="D4" s="23" t="s">
        <v>137</v>
      </c>
    </row>
    <row r="5" spans="1:4" ht="16">
      <c r="A5" s="22" t="s">
        <v>131</v>
      </c>
      <c r="B5" s="23" t="s">
        <v>139</v>
      </c>
      <c r="C5" s="23" t="s">
        <v>135</v>
      </c>
      <c r="D5" s="23" t="s">
        <v>137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6"/>
  <sheetViews>
    <sheetView workbookViewId="0">
      <selection activeCell="D15" sqref="D15"/>
    </sheetView>
  </sheetViews>
  <sheetFormatPr baseColWidth="10" defaultColWidth="9" defaultRowHeight="16"/>
  <cols>
    <col min="1" max="1" width="9" style="48"/>
    <col min="2" max="2" width="17.6640625" style="48" bestFit="1" customWidth="1"/>
    <col min="3" max="3" width="27.83203125" style="48" bestFit="1" customWidth="1"/>
    <col min="4" max="4" width="26.33203125" style="48" bestFit="1" customWidth="1"/>
    <col min="5" max="5" width="15.83203125" style="48" bestFit="1" customWidth="1"/>
    <col min="6" max="6" width="14.33203125" style="48" bestFit="1" customWidth="1"/>
    <col min="7" max="7" width="13" style="48" bestFit="1" customWidth="1"/>
    <col min="8" max="16384" width="9" style="48"/>
  </cols>
  <sheetData>
    <row r="1" spans="1:8">
      <c r="A1" s="110" t="s">
        <v>105</v>
      </c>
      <c r="B1" s="110"/>
      <c r="C1" s="110"/>
      <c r="D1" s="110"/>
      <c r="E1" s="110"/>
      <c r="F1" s="30"/>
    </row>
    <row r="2" spans="1:8">
      <c r="A2" s="33" t="s">
        <v>106</v>
      </c>
      <c r="B2" s="45" t="s">
        <v>107</v>
      </c>
      <c r="C2" s="45" t="s">
        <v>108</v>
      </c>
      <c r="D2" s="45" t="s">
        <v>94</v>
      </c>
      <c r="E2" s="45" t="s">
        <v>109</v>
      </c>
      <c r="F2" s="30"/>
    </row>
    <row r="3" spans="1:8">
      <c r="A3" s="33" t="s">
        <v>59</v>
      </c>
      <c r="B3" s="22">
        <v>284911.34164650377</v>
      </c>
      <c r="C3" s="22">
        <f>B3</f>
        <v>284911.34164650377</v>
      </c>
      <c r="D3" s="22">
        <f>C3/4</f>
        <v>71227.835411625943</v>
      </c>
      <c r="E3" s="22">
        <f>D3/2/4.5*(4.5^2+3.8^2)^0.5</f>
        <v>46613.250302294982</v>
      </c>
      <c r="F3" s="30"/>
    </row>
    <row r="4" spans="1:8">
      <c r="A4" s="33" t="s">
        <v>110</v>
      </c>
      <c r="B4" s="22">
        <v>226962.21717674812</v>
      </c>
      <c r="C4" s="22">
        <f>C3+B4</f>
        <v>511873.55882325186</v>
      </c>
      <c r="D4" s="22">
        <f t="shared" ref="D4:D6" si="0">C4/4</f>
        <v>127968.38970581297</v>
      </c>
      <c r="E4" s="22">
        <f t="shared" ref="E4:E6" si="1">D4/2/4.5*(4.5^2+3.8^2)^0.5</f>
        <v>83745.666924549922</v>
      </c>
      <c r="F4" s="30"/>
    </row>
    <row r="5" spans="1:8">
      <c r="A5" s="33" t="s">
        <v>111</v>
      </c>
      <c r="B5" s="22">
        <v>151308.14478449876</v>
      </c>
      <c r="C5" s="22">
        <f t="shared" ref="C5:C6" si="2">C4+B5</f>
        <v>663181.70360775059</v>
      </c>
      <c r="D5" s="22">
        <f t="shared" si="0"/>
        <v>165795.42590193765</v>
      </c>
      <c r="E5" s="22">
        <f t="shared" si="1"/>
        <v>108500.61133938655</v>
      </c>
      <c r="F5" s="30"/>
    </row>
    <row r="6" spans="1:8">
      <c r="A6" s="33" t="s">
        <v>112</v>
      </c>
      <c r="B6" s="22">
        <v>75654.072392249378</v>
      </c>
      <c r="C6" s="22">
        <f t="shared" si="2"/>
        <v>738835.77599999995</v>
      </c>
      <c r="D6" s="22">
        <f t="shared" si="0"/>
        <v>184708.94399999999</v>
      </c>
      <c r="E6" s="22">
        <f t="shared" si="1"/>
        <v>120878.08354680486</v>
      </c>
      <c r="F6" s="30"/>
    </row>
    <row r="7" spans="1:8">
      <c r="A7" s="30"/>
      <c r="B7" s="30"/>
      <c r="C7" s="30"/>
      <c r="D7" s="30"/>
      <c r="E7" s="30"/>
      <c r="F7" s="30"/>
    </row>
    <row r="8" spans="1:8">
      <c r="A8" s="111" t="s">
        <v>113</v>
      </c>
      <c r="B8" s="111"/>
      <c r="C8" s="111"/>
      <c r="D8" s="111"/>
      <c r="E8" s="111"/>
      <c r="F8" s="111"/>
    </row>
    <row r="9" spans="1:8">
      <c r="A9" s="33" t="s">
        <v>106</v>
      </c>
      <c r="B9" s="112" t="s">
        <v>127</v>
      </c>
      <c r="C9" s="113"/>
      <c r="D9" s="45" t="s">
        <v>114</v>
      </c>
      <c r="E9" s="45" t="s">
        <v>95</v>
      </c>
      <c r="F9" s="45" t="s">
        <v>70</v>
      </c>
    </row>
    <row r="10" spans="1:8">
      <c r="A10" s="32" t="s">
        <v>59</v>
      </c>
      <c r="B10" s="46">
        <v>55</v>
      </c>
      <c r="C10" s="46">
        <v>55</v>
      </c>
      <c r="D10" s="46">
        <f>B10*C10/10^6</f>
        <v>3.0249999999999999E-3</v>
      </c>
      <c r="E10" s="46">
        <f>0.9*D10*3.5*10^7</f>
        <v>95287.500000000015</v>
      </c>
      <c r="F10" s="44">
        <f>E3/E10</f>
        <v>0.48918536326690254</v>
      </c>
      <c r="G10" s="48">
        <f>20411.659/D10/(3.5*10^7)</f>
        <v>0.19279016765053128</v>
      </c>
    </row>
    <row r="11" spans="1:8">
      <c r="A11" s="32" t="s">
        <v>110</v>
      </c>
      <c r="B11" s="46">
        <v>55</v>
      </c>
      <c r="C11" s="46">
        <v>55</v>
      </c>
      <c r="D11" s="46">
        <f t="shared" ref="D11:D13" si="3">B11*C11/10^6</f>
        <v>3.0249999999999999E-3</v>
      </c>
      <c r="E11" s="46">
        <f t="shared" ref="E11:E13" si="4">0.9*D11*3.5*10^7</f>
        <v>95287.500000000015</v>
      </c>
      <c r="F11" s="44">
        <f t="shared" ref="F11:F13" si="5">E4/E11</f>
        <v>0.87887358703449991</v>
      </c>
    </row>
    <row r="12" spans="1:8">
      <c r="A12" s="32" t="s">
        <v>111</v>
      </c>
      <c r="B12" s="46">
        <v>65</v>
      </c>
      <c r="C12" s="46">
        <v>65</v>
      </c>
      <c r="D12" s="46">
        <f t="shared" si="3"/>
        <v>4.2249999999999996E-3</v>
      </c>
      <c r="E12" s="46">
        <f t="shared" si="4"/>
        <v>133087.5</v>
      </c>
      <c r="F12" s="44">
        <f t="shared" si="5"/>
        <v>0.81525771646012246</v>
      </c>
    </row>
    <row r="13" spans="1:8">
      <c r="A13" s="32" t="s">
        <v>112</v>
      </c>
      <c r="B13" s="46">
        <v>65</v>
      </c>
      <c r="C13" s="46">
        <v>65</v>
      </c>
      <c r="D13" s="46">
        <f t="shared" si="3"/>
        <v>4.2249999999999996E-3</v>
      </c>
      <c r="E13" s="46">
        <f t="shared" si="4"/>
        <v>133087.5</v>
      </c>
      <c r="F13" s="44">
        <f t="shared" si="5"/>
        <v>0.90826023140268519</v>
      </c>
    </row>
    <row r="14" spans="1:8">
      <c r="A14" s="33" t="s">
        <v>106</v>
      </c>
      <c r="B14" s="33" t="s">
        <v>115</v>
      </c>
      <c r="C14" s="33" t="s">
        <v>96</v>
      </c>
      <c r="D14" s="33" t="s">
        <v>97</v>
      </c>
      <c r="E14" s="33" t="s">
        <v>116</v>
      </c>
      <c r="F14" s="33" t="s">
        <v>98</v>
      </c>
    </row>
    <row r="15" spans="1:8">
      <c r="A15" s="32" t="s">
        <v>59</v>
      </c>
      <c r="B15" s="22">
        <f>(4.5^2+3.8^2)^0.5</f>
        <v>5.8898217290508885</v>
      </c>
      <c r="C15" s="22">
        <f>E10/0.9*1.3*1.1</f>
        <v>151401.25000000006</v>
      </c>
      <c r="D15" s="22">
        <f>E10/0.9*1.3*1.1*1.1</f>
        <v>166541.37500000009</v>
      </c>
      <c r="E15" s="22">
        <f>F15*D10/B15</f>
        <v>10470904.95157719</v>
      </c>
      <c r="F15" s="22">
        <v>20387359836.901115</v>
      </c>
      <c r="G15" s="48">
        <f>C15*0.9</f>
        <v>136261.12500000006</v>
      </c>
      <c r="H15" s="48">
        <f>D15*0.9</f>
        <v>149887.23750000008</v>
      </c>
    </row>
    <row r="16" spans="1:8">
      <c r="A16" s="32" t="s">
        <v>110</v>
      </c>
      <c r="B16" s="22">
        <f t="shared" ref="B16:B18" si="6">(4.5^2+3.8^2)^0.5</f>
        <v>5.8898217290508885</v>
      </c>
      <c r="C16" s="22">
        <f>E11/0.9*1.3*1.1</f>
        <v>151401.25000000006</v>
      </c>
      <c r="D16" s="22">
        <f>E11/0.9*1.3*1.1*1.1</f>
        <v>166541.37500000009</v>
      </c>
      <c r="E16" s="22">
        <f>F16*D11/B16</f>
        <v>10470904.95157719</v>
      </c>
      <c r="F16" s="22">
        <v>20387359836.901115</v>
      </c>
      <c r="G16" s="48">
        <f t="shared" ref="G16:G18" si="7">C16*0.9</f>
        <v>136261.12500000006</v>
      </c>
      <c r="H16" s="48">
        <f t="shared" ref="H16:H18" si="8">D16*0.9</f>
        <v>149887.23750000008</v>
      </c>
    </row>
    <row r="17" spans="1:11">
      <c r="A17" s="32" t="s">
        <v>111</v>
      </c>
      <c r="B17" s="22">
        <f t="shared" si="6"/>
        <v>5.8898217290508885</v>
      </c>
      <c r="C17" s="22">
        <f>E12/0.9*1.3*1.1</f>
        <v>211461.25000000003</v>
      </c>
      <c r="D17" s="22">
        <f>E12/0.9*1.3*1.1*1.1</f>
        <v>232607.37500000006</v>
      </c>
      <c r="E17" s="22">
        <f>F17*D12/B17</f>
        <v>14624652.370384671</v>
      </c>
      <c r="F17" s="22">
        <v>20387359836.901119</v>
      </c>
      <c r="G17" s="48">
        <f t="shared" si="7"/>
        <v>190315.12500000003</v>
      </c>
      <c r="H17" s="48">
        <f t="shared" si="8"/>
        <v>209346.63750000007</v>
      </c>
    </row>
    <row r="18" spans="1:11">
      <c r="A18" s="32" t="s">
        <v>112</v>
      </c>
      <c r="B18" s="22">
        <f t="shared" si="6"/>
        <v>5.8898217290508885</v>
      </c>
      <c r="C18" s="22">
        <f>E13/0.9*1.3*1.1</f>
        <v>211461.25000000003</v>
      </c>
      <c r="D18" s="22">
        <f>E13/0.9*1.3*1.1*1.1</f>
        <v>232607.37500000006</v>
      </c>
      <c r="E18" s="22">
        <f>F18*D13/B18</f>
        <v>14624652.370384671</v>
      </c>
      <c r="F18" s="22">
        <v>20387359836.901119</v>
      </c>
      <c r="G18" s="48">
        <f t="shared" si="7"/>
        <v>190315.12500000003</v>
      </c>
      <c r="H18" s="48">
        <f t="shared" si="8"/>
        <v>209346.63750000007</v>
      </c>
    </row>
    <row r="20" spans="1:11">
      <c r="A20" s="110" t="s">
        <v>102</v>
      </c>
      <c r="B20" s="110"/>
      <c r="C20" s="110"/>
      <c r="D20" s="110"/>
      <c r="E20" s="110"/>
      <c r="F20" s="110"/>
    </row>
    <row r="21" spans="1:11">
      <c r="A21" s="33" t="s">
        <v>40</v>
      </c>
      <c r="B21" s="33" t="s">
        <v>99</v>
      </c>
      <c r="C21" s="33" t="s">
        <v>100</v>
      </c>
      <c r="D21" s="47" t="s">
        <v>140</v>
      </c>
      <c r="E21" s="47" t="s">
        <v>103</v>
      </c>
      <c r="F21" s="47" t="s">
        <v>104</v>
      </c>
    </row>
    <row r="22" spans="1:11">
      <c r="A22" s="32" t="s">
        <v>59</v>
      </c>
      <c r="B22" s="22">
        <f t="shared" ref="B22:C25" si="9">C15</f>
        <v>151401.25000000006</v>
      </c>
      <c r="C22" s="22">
        <f t="shared" si="9"/>
        <v>166541.37500000009</v>
      </c>
      <c r="D22" s="36">
        <f>(B22*4.5/(4.5^2+3.8^2)^0.5+C22*4.5/(4.5^2+3.8^2)^0.5)/2</f>
        <v>121458.83851144646</v>
      </c>
      <c r="E22" s="36">
        <f>(-B22*3.8/(4.5^2+3.8^2)^0.5+C22*3.8/(4.5^2+3.8^2)^0.5)/2</f>
        <v>4884.059114746</v>
      </c>
      <c r="F22" s="22">
        <f>E22*9/2</f>
        <v>21978.266016357</v>
      </c>
    </row>
    <row r="23" spans="1:11">
      <c r="A23" s="32" t="s">
        <v>39</v>
      </c>
      <c r="B23" s="22">
        <f t="shared" si="9"/>
        <v>151401.25000000006</v>
      </c>
      <c r="C23" s="22">
        <f t="shared" si="9"/>
        <v>166541.37500000009</v>
      </c>
      <c r="D23" s="36">
        <f t="shared" ref="D23:D25" si="10">(B23*4.5/(4.5^2+3.8^2)^0.5+C23*4.5/(4.5^2+3.8^2)^0.5)/2</f>
        <v>121458.83851144646</v>
      </c>
      <c r="E23" s="36">
        <f t="shared" ref="E23:E25" si="11">(-B23*3.8/(4.5^2+3.8^2)^0.5+C23*3.8/(4.5^2+3.8^2)^0.5)/2</f>
        <v>4884.059114746</v>
      </c>
      <c r="F23" s="22">
        <f t="shared" ref="F23:F25" si="12">E23*9/2</f>
        <v>21978.266016357</v>
      </c>
    </row>
    <row r="24" spans="1:11">
      <c r="A24" s="32" t="s">
        <v>37</v>
      </c>
      <c r="B24" s="22">
        <f t="shared" si="9"/>
        <v>211461.25000000003</v>
      </c>
      <c r="C24" s="22">
        <f t="shared" si="9"/>
        <v>232607.37500000006</v>
      </c>
      <c r="D24" s="36">
        <f t="shared" si="10"/>
        <v>169640.85709449957</v>
      </c>
      <c r="E24" s="36">
        <f t="shared" si="11"/>
        <v>6821.5371106782841</v>
      </c>
      <c r="F24" s="22">
        <f t="shared" si="12"/>
        <v>30696.916998052278</v>
      </c>
    </row>
    <row r="25" spans="1:11">
      <c r="A25" s="32" t="s">
        <v>9</v>
      </c>
      <c r="B25" s="22">
        <f t="shared" si="9"/>
        <v>211461.25000000003</v>
      </c>
      <c r="C25" s="22">
        <f t="shared" si="9"/>
        <v>232607.37500000006</v>
      </c>
      <c r="D25" s="36">
        <f t="shared" si="10"/>
        <v>169640.85709449957</v>
      </c>
      <c r="E25" s="36">
        <f t="shared" si="11"/>
        <v>6821.5371106782841</v>
      </c>
      <c r="F25" s="22">
        <f t="shared" si="12"/>
        <v>30696.916998052278</v>
      </c>
    </row>
    <row r="27" spans="1:11">
      <c r="A27" s="110" t="s">
        <v>126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4"/>
    </row>
    <row r="28" spans="1:11">
      <c r="A28" s="33" t="s">
        <v>40</v>
      </c>
      <c r="B28" s="45" t="s">
        <v>65</v>
      </c>
      <c r="C28" s="33" t="s">
        <v>79</v>
      </c>
      <c r="D28" s="33" t="s">
        <v>80</v>
      </c>
      <c r="E28" s="33" t="s">
        <v>81</v>
      </c>
      <c r="F28" s="33" t="s">
        <v>141</v>
      </c>
      <c r="G28" s="33" t="s">
        <v>142</v>
      </c>
      <c r="H28" s="33" t="s">
        <v>84</v>
      </c>
      <c r="I28" s="33" t="s">
        <v>86</v>
      </c>
      <c r="J28" s="33" t="s">
        <v>143</v>
      </c>
      <c r="K28" s="33" t="s">
        <v>144</v>
      </c>
    </row>
    <row r="29" spans="1:11">
      <c r="A29" s="33" t="s">
        <v>59</v>
      </c>
      <c r="B29" s="46" t="s">
        <v>101</v>
      </c>
      <c r="C29" s="46">
        <v>7.3899999999999993E-2</v>
      </c>
      <c r="D29" s="44">
        <f>4.5/C29*((3.5*10^7)/(PI()^2*2040*10^7))^0.5</f>
        <v>0.80285504574333078</v>
      </c>
      <c r="E29" s="22">
        <f>EXP(1)^(-0.419*D29^2)*3.5*10^7*0.0132</f>
        <v>352654.01648501609</v>
      </c>
      <c r="F29" s="44">
        <f>D22/E29/0.85</f>
        <v>0.4051924677171751</v>
      </c>
      <c r="G29" s="44">
        <f>D22/(3.5*10^7*0.0132)/0.9</f>
        <v>0.29210879872882745</v>
      </c>
      <c r="H29" s="22">
        <f>2.116/10^3*3.5*10^7</f>
        <v>74060.000000000015</v>
      </c>
      <c r="I29" s="43">
        <f>8/9*F22/H29/0.9/1.1</f>
        <v>0.26645385067231858</v>
      </c>
      <c r="J29" s="43">
        <f>G29+I29</f>
        <v>0.55856264940114597</v>
      </c>
      <c r="K29" s="43">
        <f>F29+I29</f>
        <v>0.67164631838949362</v>
      </c>
    </row>
    <row r="30" spans="1:11">
      <c r="A30" s="33" t="s">
        <v>39</v>
      </c>
      <c r="B30" s="46" t="s">
        <v>101</v>
      </c>
      <c r="C30" s="46">
        <v>7.3899999999999993E-2</v>
      </c>
      <c r="D30" s="44">
        <f t="shared" ref="D30:D32" si="13">4.5/C30*((3.5*10^7)/(PI()^2*2040*10^7))^0.5</f>
        <v>0.80285504574333078</v>
      </c>
      <c r="E30" s="22">
        <f t="shared" ref="E30:E32" si="14">EXP(1)^(-0.419*D30^2)*3.5*10^7*0.0132</f>
        <v>352654.01648501609</v>
      </c>
      <c r="F30" s="44">
        <f t="shared" ref="F30:F32" si="15">D23/E30/0.85</f>
        <v>0.4051924677171751</v>
      </c>
      <c r="G30" s="44">
        <f t="shared" ref="G30:G32" si="16">D23/(3.5*10^7*0.0132)/0.9</f>
        <v>0.29210879872882745</v>
      </c>
      <c r="H30" s="22">
        <f t="shared" ref="H30:H32" si="17">2.116/10^3*3.5*10^7</f>
        <v>74060.000000000015</v>
      </c>
      <c r="I30" s="43">
        <f t="shared" ref="I30:I32" si="18">8/9*F23/H30/0.9/1.1</f>
        <v>0.26645385067231858</v>
      </c>
      <c r="J30" s="43">
        <f t="shared" ref="J30:J32" si="19">G30+I30</f>
        <v>0.55856264940114597</v>
      </c>
      <c r="K30" s="43">
        <f t="shared" ref="K30:K32" si="20">F30+I30</f>
        <v>0.67164631838949362</v>
      </c>
    </row>
    <row r="31" spans="1:11">
      <c r="A31" s="33" t="s">
        <v>37</v>
      </c>
      <c r="B31" s="46" t="s">
        <v>101</v>
      </c>
      <c r="C31" s="46">
        <v>7.3899999999999993E-2</v>
      </c>
      <c r="D31" s="44">
        <f t="shared" si="13"/>
        <v>0.80285504574333078</v>
      </c>
      <c r="E31" s="22">
        <f t="shared" si="14"/>
        <v>352654.01648501609</v>
      </c>
      <c r="F31" s="44">
        <f t="shared" si="15"/>
        <v>0.56592997557192215</v>
      </c>
      <c r="G31" s="44">
        <f t="shared" si="16"/>
        <v>0.40798666929894079</v>
      </c>
      <c r="H31" s="22">
        <f t="shared" si="17"/>
        <v>74060.000000000015</v>
      </c>
      <c r="I31" s="43">
        <f t="shared" si="18"/>
        <v>0.37215455176546897</v>
      </c>
      <c r="J31" s="43">
        <f t="shared" si="19"/>
        <v>0.78014122106440975</v>
      </c>
      <c r="K31" s="43">
        <f t="shared" si="20"/>
        <v>0.93808452733739112</v>
      </c>
    </row>
    <row r="32" spans="1:11">
      <c r="A32" s="33" t="s">
        <v>9</v>
      </c>
      <c r="B32" s="46" t="s">
        <v>101</v>
      </c>
      <c r="C32" s="46">
        <v>7.3899999999999993E-2</v>
      </c>
      <c r="D32" s="44">
        <f t="shared" si="13"/>
        <v>0.80285504574333078</v>
      </c>
      <c r="E32" s="22">
        <f t="shared" si="14"/>
        <v>352654.01648501609</v>
      </c>
      <c r="F32" s="44">
        <f t="shared" si="15"/>
        <v>0.56592997557192215</v>
      </c>
      <c r="G32" s="44">
        <f t="shared" si="16"/>
        <v>0.40798666929894079</v>
      </c>
      <c r="H32" s="22">
        <f t="shared" si="17"/>
        <v>74060.000000000015</v>
      </c>
      <c r="I32" s="43">
        <f t="shared" si="18"/>
        <v>0.37215455176546897</v>
      </c>
      <c r="J32" s="43">
        <f t="shared" si="19"/>
        <v>0.78014122106440975</v>
      </c>
      <c r="K32" s="43">
        <f t="shared" si="20"/>
        <v>0.93808452733739112</v>
      </c>
    </row>
    <row r="34" spans="1:7">
      <c r="A34" s="110" t="s">
        <v>117</v>
      </c>
      <c r="B34" s="110"/>
      <c r="C34" s="110"/>
      <c r="D34" s="110"/>
      <c r="E34" s="110"/>
    </row>
    <row r="35" spans="1:7" ht="48">
      <c r="A35" s="33" t="s">
        <v>106</v>
      </c>
      <c r="B35" s="33" t="s">
        <v>118</v>
      </c>
      <c r="C35" s="33" t="s">
        <v>119</v>
      </c>
      <c r="D35" s="47" t="s">
        <v>120</v>
      </c>
      <c r="E35" s="47" t="s">
        <v>121</v>
      </c>
    </row>
    <row r="36" spans="1:7">
      <c r="A36" s="32" t="s">
        <v>59</v>
      </c>
      <c r="B36" s="22">
        <f>C15</f>
        <v>151401.25000000006</v>
      </c>
      <c r="C36" s="22">
        <f>D15</f>
        <v>166541.37500000009</v>
      </c>
      <c r="D36" s="36">
        <v>94579.611068549304</v>
      </c>
      <c r="E36" s="36">
        <v>104037.57217540425</v>
      </c>
    </row>
    <row r="37" spans="1:7">
      <c r="A37" s="32" t="s">
        <v>110</v>
      </c>
      <c r="B37" s="22">
        <f t="shared" ref="B37:C39" si="21">C16</f>
        <v>151401.25000000006</v>
      </c>
      <c r="C37" s="22">
        <f t="shared" si="21"/>
        <v>166541.37500000009</v>
      </c>
      <c r="D37" s="36">
        <v>198617.18324395354</v>
      </c>
      <c r="E37" s="36">
        <v>198617.18324395356</v>
      </c>
    </row>
    <row r="38" spans="1:7">
      <c r="A38" s="32" t="s">
        <v>111</v>
      </c>
      <c r="B38" s="22">
        <f t="shared" si="21"/>
        <v>211461.25000000003</v>
      </c>
      <c r="C38" s="22">
        <f t="shared" si="21"/>
        <v>232607.37500000006</v>
      </c>
      <c r="D38" s="36">
        <v>190957.01639707931</v>
      </c>
      <c r="E38" s="36">
        <v>206277.35009082779</v>
      </c>
    </row>
    <row r="39" spans="1:7">
      <c r="A39" s="32" t="s">
        <v>112</v>
      </c>
      <c r="B39" s="22">
        <f t="shared" si="21"/>
        <v>211461.25000000003</v>
      </c>
      <c r="C39" s="22">
        <f t="shared" si="21"/>
        <v>232607.37500000006</v>
      </c>
      <c r="D39" s="36">
        <v>351820.52018143842</v>
      </c>
      <c r="E39" s="36">
        <v>367140.85387518688</v>
      </c>
    </row>
    <row r="42" spans="1:7">
      <c r="A42" s="33" t="s">
        <v>106</v>
      </c>
      <c r="B42" s="45" t="s">
        <v>65</v>
      </c>
      <c r="C42" s="33" t="s">
        <v>79</v>
      </c>
      <c r="D42" s="33" t="s">
        <v>80</v>
      </c>
      <c r="E42" s="33" t="s">
        <v>122</v>
      </c>
      <c r="F42" s="33" t="s">
        <v>123</v>
      </c>
      <c r="G42" s="33" t="s">
        <v>124</v>
      </c>
    </row>
    <row r="43" spans="1:7">
      <c r="A43" s="33" t="s">
        <v>59</v>
      </c>
      <c r="B43" s="46" t="s">
        <v>125</v>
      </c>
      <c r="C43" s="46">
        <v>7.3899999999999993E-2</v>
      </c>
      <c r="D43" s="44">
        <f>3.8/C43*((3.5*10^7)/(PI()^2*2040*10^7))^0.5</f>
        <v>0.67796648307214591</v>
      </c>
      <c r="E43" s="22">
        <f>EXP(1)^(-0.419*D43^2)*3.5*10^7*0.0132</f>
        <v>381067.42871513253</v>
      </c>
      <c r="F43" s="44">
        <f>D36/E43/0.85</f>
        <v>0.291995910130807</v>
      </c>
      <c r="G43" s="44">
        <f>E36/(3.5*10^7*0.0132)/0.9</f>
        <v>0.25021061129245847</v>
      </c>
    </row>
    <row r="44" spans="1:7">
      <c r="A44" s="33" t="s">
        <v>110</v>
      </c>
      <c r="B44" s="46" t="s">
        <v>125</v>
      </c>
      <c r="C44" s="46">
        <v>7.3899999999999993E-2</v>
      </c>
      <c r="D44" s="44">
        <f t="shared" ref="D44:D46" si="22">3.8/C44*((3.5*10^7)/(PI()^2*2040*10^7))^0.5</f>
        <v>0.67796648307214591</v>
      </c>
      <c r="E44" s="22">
        <f>EXP(1)^(-0.419*D44^2)*3.5*10^7*0.0132</f>
        <v>381067.42871513253</v>
      </c>
      <c r="F44" s="44">
        <f t="shared" ref="F44:F46" si="23">D37/E44/0.85</f>
        <v>0.61319141127469468</v>
      </c>
      <c r="G44" s="44">
        <f>E37/(3.5*10^7*0.0132)/0.9</f>
        <v>0.47767480337651169</v>
      </c>
    </row>
    <row r="45" spans="1:7">
      <c r="A45" s="33" t="s">
        <v>111</v>
      </c>
      <c r="B45" s="22" t="s">
        <v>71</v>
      </c>
      <c r="C45" s="22">
        <v>0.10199999999999999</v>
      </c>
      <c r="D45" s="44">
        <f t="shared" si="22"/>
        <v>0.49119336371599598</v>
      </c>
      <c r="E45" s="22">
        <f>EXP(1)^(-0.419*D45^2)*3.5*10^7*0.0369</f>
        <v>1167321.5113931217</v>
      </c>
      <c r="F45" s="44">
        <f t="shared" si="23"/>
        <v>0.19245367382994358</v>
      </c>
      <c r="G45" s="44">
        <f>E38/(3.5*10^7*0.0369)/0.9</f>
        <v>0.1774657806089627</v>
      </c>
    </row>
    <row r="46" spans="1:7">
      <c r="A46" s="33" t="s">
        <v>9</v>
      </c>
      <c r="B46" s="22" t="s">
        <v>71</v>
      </c>
      <c r="C46" s="22">
        <v>0.10199999999999999</v>
      </c>
      <c r="D46" s="44">
        <f t="shared" si="22"/>
        <v>0.49119336371599598</v>
      </c>
      <c r="E46" s="22">
        <f>EXP(1)^(-0.419*D46^2)*3.5*10^7*0.0369</f>
        <v>1167321.5113931217</v>
      </c>
      <c r="F46" s="44">
        <f t="shared" si="23"/>
        <v>0.35457797212794767</v>
      </c>
      <c r="G46" s="44">
        <f>E39/(3.5*10^7*0.0369)/0.9</f>
        <v>0.31586084559314054</v>
      </c>
    </row>
  </sheetData>
  <mergeCells count="6">
    <mergeCell ref="A1:E1"/>
    <mergeCell ref="A8:F8"/>
    <mergeCell ref="A34:E34"/>
    <mergeCell ref="A20:F20"/>
    <mergeCell ref="B9:C9"/>
    <mergeCell ref="A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C3:L11"/>
  <sheetViews>
    <sheetView workbookViewId="0">
      <selection activeCell="D7" sqref="D7:D10"/>
    </sheetView>
  </sheetViews>
  <sheetFormatPr baseColWidth="10" defaultColWidth="8.83203125" defaultRowHeight="16"/>
  <cols>
    <col min="1" max="2" width="8.83203125" style="56"/>
    <col min="3" max="3" width="8" style="56" bestFit="1" customWidth="1"/>
    <col min="4" max="4" width="16.5" style="56" bestFit="1" customWidth="1"/>
    <col min="5" max="5" width="14.83203125" style="56" bestFit="1" customWidth="1"/>
    <col min="6" max="6" width="11.6640625" style="56" bestFit="1" customWidth="1"/>
    <col min="7" max="7" width="10.6640625" style="56" bestFit="1" customWidth="1"/>
    <col min="8" max="16384" width="8.83203125" style="56"/>
  </cols>
  <sheetData>
    <row r="3" spans="3:12" ht="17" thickBot="1"/>
    <row r="4" spans="3:12" ht="17" thickBot="1">
      <c r="C4" s="78" t="s">
        <v>393</v>
      </c>
      <c r="D4" s="79"/>
      <c r="E4" s="79"/>
      <c r="F4" s="79"/>
      <c r="G4" s="79"/>
      <c r="H4" s="79"/>
      <c r="I4" s="79"/>
      <c r="J4" s="80"/>
      <c r="K4" s="65"/>
      <c r="L4" s="65"/>
    </row>
    <row r="5" spans="3:12" ht="17" thickTop="1">
      <c r="C5" s="81"/>
      <c r="D5" s="82"/>
      <c r="E5" s="82"/>
      <c r="F5" s="82"/>
      <c r="G5" s="66" t="s">
        <v>394</v>
      </c>
      <c r="H5" s="67">
        <f>質量!G29*0.1576</f>
        <v>442.37689600000004</v>
      </c>
      <c r="I5" s="68" t="s">
        <v>395</v>
      </c>
      <c r="J5" s="69">
        <f>質量!G29*0.1905</f>
        <v>534.72588000000007</v>
      </c>
      <c r="K5" s="70"/>
      <c r="L5" s="70"/>
    </row>
    <row r="6" spans="3:12" ht="18">
      <c r="C6" s="71" t="s">
        <v>40</v>
      </c>
      <c r="D6" s="72" t="s">
        <v>396</v>
      </c>
      <c r="E6" s="72" t="s">
        <v>41</v>
      </c>
      <c r="F6" s="72" t="s">
        <v>401</v>
      </c>
      <c r="G6" s="75" t="s">
        <v>42</v>
      </c>
      <c r="H6" s="76"/>
      <c r="I6" s="75" t="s">
        <v>42</v>
      </c>
      <c r="J6" s="88"/>
      <c r="K6" s="65"/>
      <c r="L6" s="65"/>
    </row>
    <row r="7" spans="3:12">
      <c r="C7" s="71" t="s">
        <v>6</v>
      </c>
      <c r="D7" s="73">
        <f>質量!G$10</f>
        <v>654.88000000000011</v>
      </c>
      <c r="E7" s="73">
        <v>16</v>
      </c>
      <c r="F7" s="60">
        <f>D7*E7</f>
        <v>10478.080000000002</v>
      </c>
      <c r="G7" s="77">
        <f>H$5*F7/F$11</f>
        <v>167.36982740535672</v>
      </c>
      <c r="H7" s="77"/>
      <c r="I7" s="77">
        <f>J$5*F7/F$11</f>
        <v>202.3093408675156</v>
      </c>
      <c r="J7" s="87"/>
      <c r="K7" s="65"/>
      <c r="L7" s="65"/>
    </row>
    <row r="8" spans="3:12">
      <c r="C8" s="71" t="s">
        <v>45</v>
      </c>
      <c r="D8" s="73">
        <f>質量!G$16</f>
        <v>717.36</v>
      </c>
      <c r="E8" s="73">
        <v>12</v>
      </c>
      <c r="F8" s="60">
        <f t="shared" ref="F8:F10" si="0">D8*E8</f>
        <v>8608.32</v>
      </c>
      <c r="G8" s="77">
        <f>H$5*F8/F$11</f>
        <v>137.50353429732166</v>
      </c>
      <c r="H8" s="77"/>
      <c r="I8" s="77">
        <f>J$5*F8/F$11</f>
        <v>166.20826956624222</v>
      </c>
      <c r="J8" s="87"/>
      <c r="K8" s="65"/>
      <c r="L8" s="65"/>
    </row>
    <row r="9" spans="3:12">
      <c r="C9" s="71" t="s">
        <v>7</v>
      </c>
      <c r="D9" s="73">
        <f>質量!G$22</f>
        <v>717.36</v>
      </c>
      <c r="E9" s="73">
        <v>8</v>
      </c>
      <c r="F9" s="60">
        <f t="shared" si="0"/>
        <v>5738.88</v>
      </c>
      <c r="G9" s="77">
        <f>H$5*F9/F$11</f>
        <v>91.669022864881114</v>
      </c>
      <c r="H9" s="77"/>
      <c r="I9" s="77">
        <f>J$5*F9/F$11</f>
        <v>110.8055130441615</v>
      </c>
      <c r="J9" s="87"/>
      <c r="K9" s="65"/>
      <c r="L9" s="65"/>
    </row>
    <row r="10" spans="3:12">
      <c r="C10" s="71" t="s">
        <v>8</v>
      </c>
      <c r="D10" s="73">
        <f>質量!G$28</f>
        <v>717.36</v>
      </c>
      <c r="E10" s="73">
        <v>4</v>
      </c>
      <c r="F10" s="60">
        <f t="shared" si="0"/>
        <v>2869.44</v>
      </c>
      <c r="G10" s="77">
        <f>H$5*F10/F$11</f>
        <v>45.834511432440557</v>
      </c>
      <c r="H10" s="77"/>
      <c r="I10" s="77">
        <f>J$5*F10/F$11</f>
        <v>55.40275652208075</v>
      </c>
      <c r="J10" s="87"/>
      <c r="K10" s="65"/>
      <c r="L10" s="65"/>
    </row>
    <row r="11" spans="3:12" ht="17" thickBot="1">
      <c r="C11" s="85" t="s">
        <v>38</v>
      </c>
      <c r="D11" s="86"/>
      <c r="E11" s="86"/>
      <c r="F11" s="74">
        <f>SUM(F7:F10)</f>
        <v>27694.720000000001</v>
      </c>
      <c r="G11" s="83">
        <f>SUM(G7:H10)</f>
        <v>442.37689600000004</v>
      </c>
      <c r="H11" s="83"/>
      <c r="I11" s="83">
        <f>SUM(I7:J10)</f>
        <v>534.72588000000007</v>
      </c>
      <c r="J11" s="84"/>
      <c r="K11" s="65"/>
      <c r="L11" s="65"/>
    </row>
  </sheetData>
  <mergeCells count="15">
    <mergeCell ref="G6:H6"/>
    <mergeCell ref="G7:H7"/>
    <mergeCell ref="C4:J4"/>
    <mergeCell ref="C5:F5"/>
    <mergeCell ref="I11:J11"/>
    <mergeCell ref="G8:H8"/>
    <mergeCell ref="G9:H9"/>
    <mergeCell ref="G10:H10"/>
    <mergeCell ref="C11:E11"/>
    <mergeCell ref="G11:H11"/>
    <mergeCell ref="I7:J7"/>
    <mergeCell ref="I6:J6"/>
    <mergeCell ref="I8:J8"/>
    <mergeCell ref="I9:J9"/>
    <mergeCell ref="I10:J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E07-76B7-DF41-90AB-32BF9173A628}">
  <dimension ref="C3:J8"/>
  <sheetViews>
    <sheetView tabSelected="1" workbookViewId="0">
      <selection activeCell="G16" sqref="G16"/>
    </sheetView>
  </sheetViews>
  <sheetFormatPr baseColWidth="10" defaultRowHeight="15"/>
  <cols>
    <col min="3" max="3" width="5.6640625" bestFit="1" customWidth="1"/>
    <col min="4" max="5" width="6.33203125" bestFit="1" customWidth="1"/>
    <col min="6" max="6" width="14.1640625" customWidth="1"/>
    <col min="7" max="7" width="11.1640625" bestFit="1" customWidth="1"/>
    <col min="8" max="9" width="13.1640625" bestFit="1" customWidth="1"/>
    <col min="10" max="10" width="14.33203125" bestFit="1" customWidth="1"/>
  </cols>
  <sheetData>
    <row r="3" spans="3:10" ht="16" thickBot="1"/>
    <row r="4" spans="3:10" ht="48" thickBot="1">
      <c r="C4" s="118" t="s">
        <v>40</v>
      </c>
      <c r="D4" s="119" t="s">
        <v>50</v>
      </c>
      <c r="E4" s="119" t="s">
        <v>51</v>
      </c>
      <c r="F4" s="120" t="s">
        <v>49</v>
      </c>
      <c r="G4" s="119" t="s">
        <v>402</v>
      </c>
      <c r="H4" s="120" t="s">
        <v>403</v>
      </c>
      <c r="I4" s="120" t="s">
        <v>404</v>
      </c>
      <c r="J4" s="121" t="s">
        <v>405</v>
      </c>
    </row>
    <row r="5" spans="3:10" ht="16" thickTop="1">
      <c r="C5" s="122" t="s">
        <v>59</v>
      </c>
      <c r="D5" s="117">
        <v>36</v>
      </c>
      <c r="E5" s="117">
        <v>30</v>
      </c>
      <c r="F5" s="117">
        <v>0.15</v>
      </c>
      <c r="G5" s="125">
        <f>質量!G10</f>
        <v>654.88000000000011</v>
      </c>
      <c r="H5" s="127">
        <f>(E$5^2+F$5^2)/12*G5</f>
        <v>49117.227900000005</v>
      </c>
      <c r="I5" s="127">
        <f>(D$5^2+F$5^2)/12*G5</f>
        <v>70728.267900000006</v>
      </c>
      <c r="J5" s="128">
        <f>(D5^2+E5^2)/12*G5</f>
        <v>119843.04000000002</v>
      </c>
    </row>
    <row r="6" spans="3:10">
      <c r="C6" s="123" t="s">
        <v>129</v>
      </c>
      <c r="D6" s="115">
        <v>36</v>
      </c>
      <c r="E6" s="117">
        <v>30</v>
      </c>
      <c r="F6" s="115">
        <v>0.15</v>
      </c>
      <c r="G6" s="125">
        <f>質量!G16</f>
        <v>717.36</v>
      </c>
      <c r="H6" s="129">
        <f>(E$5^2+F$5^2)/12*G6</f>
        <v>53803.345049999996</v>
      </c>
      <c r="I6" s="129">
        <f>(D$5^2+F$5^2)/12*G6</f>
        <v>77476.225049999994</v>
      </c>
      <c r="J6" s="130">
        <f t="shared" ref="J6:J8" si="0">(D6^2+E6^2)/12*G6</f>
        <v>131276.88</v>
      </c>
    </row>
    <row r="7" spans="3:10">
      <c r="C7" s="123" t="s">
        <v>130</v>
      </c>
      <c r="D7" s="115">
        <v>36</v>
      </c>
      <c r="E7" s="117">
        <v>30</v>
      </c>
      <c r="F7" s="115">
        <v>0.15</v>
      </c>
      <c r="G7" s="125">
        <f>質量!G22</f>
        <v>717.36</v>
      </c>
      <c r="H7" s="129">
        <f>(E$5^2+F$5^2)/12*G7</f>
        <v>53803.345049999996</v>
      </c>
      <c r="I7" s="129">
        <f>(D$5^2+F$5^2)/12*G7</f>
        <v>77476.225049999994</v>
      </c>
      <c r="J7" s="130">
        <f t="shared" si="0"/>
        <v>131276.88</v>
      </c>
    </row>
    <row r="8" spans="3:10" ht="16" thickBot="1">
      <c r="C8" s="124" t="s">
        <v>131</v>
      </c>
      <c r="D8" s="116">
        <v>36</v>
      </c>
      <c r="E8" s="116">
        <v>30</v>
      </c>
      <c r="F8" s="116">
        <v>0.15</v>
      </c>
      <c r="G8" s="126">
        <f>質量!G28</f>
        <v>717.36</v>
      </c>
      <c r="H8" s="131">
        <f>(E$5^2+F$5^2)/12*G8</f>
        <v>53803.345049999996</v>
      </c>
      <c r="I8" s="131">
        <f>(D$5^2+F$5^2)/12*G8</f>
        <v>77476.225049999994</v>
      </c>
      <c r="J8" s="132">
        <f t="shared" si="0"/>
        <v>131276.88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20"/>
  <sheetViews>
    <sheetView workbookViewId="0">
      <selection activeCell="C3" sqref="C3:G20"/>
    </sheetView>
  </sheetViews>
  <sheetFormatPr baseColWidth="10" defaultColWidth="11" defaultRowHeight="15"/>
  <sheetData>
    <row r="3" spans="3:7">
      <c r="C3" s="49" t="s">
        <v>384</v>
      </c>
    </row>
    <row r="4" spans="3:7">
      <c r="C4" t="s">
        <v>385</v>
      </c>
      <c r="F4">
        <v>484.04601651199999</v>
      </c>
    </row>
    <row r="5" spans="3:7">
      <c r="C5" t="s">
        <v>128</v>
      </c>
      <c r="D5" t="s">
        <v>386</v>
      </c>
      <c r="E5" t="s">
        <v>387</v>
      </c>
      <c r="F5" t="s">
        <v>388</v>
      </c>
      <c r="G5" t="s">
        <v>389</v>
      </c>
    </row>
    <row r="6" spans="3:7">
      <c r="C6" t="s">
        <v>59</v>
      </c>
      <c r="D6">
        <v>681.94</v>
      </c>
      <c r="E6">
        <v>15.2</v>
      </c>
      <c r="F6">
        <v>10365.488000000001</v>
      </c>
      <c r="G6">
        <v>0.27924205456987061</v>
      </c>
    </row>
    <row r="7" spans="3:7">
      <c r="C7" t="s">
        <v>130</v>
      </c>
      <c r="D7">
        <v>787608</v>
      </c>
      <c r="E7">
        <v>11.399999999999999</v>
      </c>
      <c r="F7">
        <v>8978731.1999999993</v>
      </c>
      <c r="G7">
        <v>241.88338722871507</v>
      </c>
    </row>
    <row r="8" spans="3:7">
      <c r="C8" t="s">
        <v>131</v>
      </c>
      <c r="D8">
        <v>787608</v>
      </c>
      <c r="E8">
        <v>7.6</v>
      </c>
      <c r="F8">
        <v>5985820.7999999998</v>
      </c>
      <c r="G8">
        <v>161.25559148581007</v>
      </c>
    </row>
    <row r="9" spans="3:7">
      <c r="C9" t="s">
        <v>390</v>
      </c>
      <c r="D9">
        <v>787608</v>
      </c>
      <c r="E9">
        <v>3.8</v>
      </c>
      <c r="F9">
        <v>2992910.4</v>
      </c>
      <c r="G9">
        <v>80.627795742905036</v>
      </c>
    </row>
    <row r="10" spans="3:7">
      <c r="C10" t="s">
        <v>391</v>
      </c>
      <c r="F10">
        <v>17967827.887999997</v>
      </c>
      <c r="G10">
        <v>484.04601651200005</v>
      </c>
    </row>
    <row r="13" spans="3:7">
      <c r="C13" t="s">
        <v>392</v>
      </c>
    </row>
    <row r="14" spans="3:7">
      <c r="C14" t="s">
        <v>385</v>
      </c>
      <c r="F14">
        <v>562.51441371999999</v>
      </c>
    </row>
    <row r="15" spans="3:7">
      <c r="C15" t="s">
        <v>128</v>
      </c>
      <c r="D15" t="s">
        <v>386</v>
      </c>
      <c r="E15" t="s">
        <v>387</v>
      </c>
      <c r="F15" t="s">
        <v>388</v>
      </c>
      <c r="G15" t="s">
        <v>389</v>
      </c>
    </row>
    <row r="16" spans="3:7">
      <c r="C16" t="s">
        <v>59</v>
      </c>
      <c r="D16">
        <v>681.94</v>
      </c>
      <c r="E16">
        <v>15.2</v>
      </c>
      <c r="F16">
        <v>10365.488000000001</v>
      </c>
      <c r="G16">
        <v>0.32450980950990826</v>
      </c>
    </row>
    <row r="17" spans="3:7">
      <c r="C17" t="s">
        <v>130</v>
      </c>
      <c r="D17">
        <v>787608</v>
      </c>
      <c r="E17">
        <v>11.399999999999999</v>
      </c>
      <c r="F17">
        <v>8978731.1999999993</v>
      </c>
      <c r="G17">
        <v>281.09495195524511</v>
      </c>
    </row>
    <row r="18" spans="3:7">
      <c r="C18" t="s">
        <v>131</v>
      </c>
      <c r="D18">
        <v>787608</v>
      </c>
      <c r="E18">
        <v>7.6</v>
      </c>
      <c r="F18">
        <v>5985820.7999999998</v>
      </c>
      <c r="G18">
        <v>187.39663463683004</v>
      </c>
    </row>
    <row r="19" spans="3:7">
      <c r="C19" t="s">
        <v>390</v>
      </c>
      <c r="D19">
        <v>787608</v>
      </c>
      <c r="E19">
        <v>3.8</v>
      </c>
      <c r="F19">
        <v>2992910.4</v>
      </c>
      <c r="G19">
        <v>93.698317318415022</v>
      </c>
    </row>
    <row r="20" spans="3:7">
      <c r="C20" t="s">
        <v>391</v>
      </c>
      <c r="F20">
        <v>17967827.887999997</v>
      </c>
      <c r="G20">
        <v>562.51441371999999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2"/>
  <sheetViews>
    <sheetView topLeftCell="A145" workbookViewId="0">
      <selection activeCell="D1" sqref="D1:D152"/>
    </sheetView>
  </sheetViews>
  <sheetFormatPr baseColWidth="10" defaultColWidth="8.83203125" defaultRowHeight="15"/>
  <sheetData>
    <row r="1" spans="1:4">
      <c r="A1" t="s">
        <v>146</v>
      </c>
      <c r="D1" t="s">
        <v>250</v>
      </c>
    </row>
    <row r="2" spans="1:4">
      <c r="A2" t="s">
        <v>147</v>
      </c>
      <c r="D2" t="s">
        <v>251</v>
      </c>
    </row>
    <row r="3" spans="1:4">
      <c r="A3" t="s">
        <v>148</v>
      </c>
      <c r="D3" t="s">
        <v>298</v>
      </c>
    </row>
    <row r="4" spans="1:4">
      <c r="A4" t="s">
        <v>149</v>
      </c>
      <c r="D4" t="s">
        <v>299</v>
      </c>
    </row>
    <row r="5" spans="1:4">
      <c r="A5" t="s">
        <v>150</v>
      </c>
      <c r="D5" t="s">
        <v>300</v>
      </c>
    </row>
    <row r="6" spans="1:4">
      <c r="A6" t="s">
        <v>151</v>
      </c>
      <c r="D6" t="s">
        <v>301</v>
      </c>
    </row>
    <row r="7" spans="1:4">
      <c r="A7" t="s">
        <v>152</v>
      </c>
      <c r="D7" t="s">
        <v>252</v>
      </c>
    </row>
    <row r="8" spans="1:4">
      <c r="A8" t="s">
        <v>153</v>
      </c>
      <c r="D8" t="s">
        <v>253</v>
      </c>
    </row>
    <row r="9" spans="1:4">
      <c r="A9" t="s">
        <v>154</v>
      </c>
      <c r="D9" t="s">
        <v>182</v>
      </c>
    </row>
    <row r="10" spans="1:4">
      <c r="A10" t="s">
        <v>155</v>
      </c>
      <c r="D10" t="s">
        <v>174</v>
      </c>
    </row>
    <row r="11" spans="1:4">
      <c r="A11" t="s">
        <v>156</v>
      </c>
      <c r="D11" t="s">
        <v>183</v>
      </c>
    </row>
    <row r="12" spans="1:4">
      <c r="A12" t="s">
        <v>157</v>
      </c>
      <c r="D12" t="s">
        <v>175</v>
      </c>
    </row>
    <row r="13" spans="1:4">
      <c r="A13" t="s">
        <v>158</v>
      </c>
      <c r="D13" t="s">
        <v>184</v>
      </c>
    </row>
    <row r="14" spans="1:4">
      <c r="A14" t="s">
        <v>159</v>
      </c>
      <c r="D14" t="s">
        <v>176</v>
      </c>
    </row>
    <row r="15" spans="1:4">
      <c r="A15" t="s">
        <v>160</v>
      </c>
      <c r="D15" t="s">
        <v>185</v>
      </c>
    </row>
    <row r="16" spans="1:4">
      <c r="A16" t="s">
        <v>161</v>
      </c>
      <c r="D16" t="s">
        <v>177</v>
      </c>
    </row>
    <row r="17" spans="1:4">
      <c r="A17" t="s">
        <v>162</v>
      </c>
      <c r="D17" t="s">
        <v>146</v>
      </c>
    </row>
    <row r="18" spans="1:4">
      <c r="A18" t="s">
        <v>163</v>
      </c>
      <c r="D18" t="s">
        <v>154</v>
      </c>
    </row>
    <row r="19" spans="1:4">
      <c r="A19" t="s">
        <v>164</v>
      </c>
      <c r="D19" t="s">
        <v>147</v>
      </c>
    </row>
    <row r="20" spans="1:4">
      <c r="A20" t="s">
        <v>165</v>
      </c>
      <c r="D20" t="s">
        <v>155</v>
      </c>
    </row>
    <row r="21" spans="1:4">
      <c r="A21" t="s">
        <v>166</v>
      </c>
      <c r="D21" t="s">
        <v>148</v>
      </c>
    </row>
    <row r="22" spans="1:4">
      <c r="A22" t="s">
        <v>167</v>
      </c>
      <c r="D22" t="s">
        <v>156</v>
      </c>
    </row>
    <row r="23" spans="1:4">
      <c r="A23" t="s">
        <v>168</v>
      </c>
      <c r="D23" t="s">
        <v>149</v>
      </c>
    </row>
    <row r="24" spans="1:4">
      <c r="A24" t="s">
        <v>169</v>
      </c>
      <c r="D24" t="s">
        <v>157</v>
      </c>
    </row>
    <row r="25" spans="1:4">
      <c r="A25" t="s">
        <v>170</v>
      </c>
      <c r="D25" t="s">
        <v>198</v>
      </c>
    </row>
    <row r="26" spans="1:4">
      <c r="A26" t="s">
        <v>171</v>
      </c>
      <c r="D26" t="s">
        <v>199</v>
      </c>
    </row>
    <row r="27" spans="1:4">
      <c r="A27" t="s">
        <v>172</v>
      </c>
      <c r="D27" t="s">
        <v>200</v>
      </c>
    </row>
    <row r="28" spans="1:4">
      <c r="A28" t="s">
        <v>173</v>
      </c>
      <c r="D28" t="s">
        <v>201</v>
      </c>
    </row>
    <row r="29" spans="1:4">
      <c r="A29" t="s">
        <v>174</v>
      </c>
      <c r="D29" t="s">
        <v>202</v>
      </c>
    </row>
    <row r="30" spans="1:4">
      <c r="A30" t="s">
        <v>175</v>
      </c>
      <c r="D30" t="s">
        <v>203</v>
      </c>
    </row>
    <row r="31" spans="1:4">
      <c r="A31" t="s">
        <v>176</v>
      </c>
      <c r="D31" t="s">
        <v>204</v>
      </c>
    </row>
    <row r="32" spans="1:4">
      <c r="A32" t="s">
        <v>177</v>
      </c>
      <c r="D32" t="s">
        <v>205</v>
      </c>
    </row>
    <row r="33" spans="1:4">
      <c r="A33" t="s">
        <v>178</v>
      </c>
      <c r="D33" t="s">
        <v>302</v>
      </c>
    </row>
    <row r="34" spans="1:4">
      <c r="A34" t="s">
        <v>179</v>
      </c>
      <c r="D34" t="s">
        <v>303</v>
      </c>
    </row>
    <row r="35" spans="1:4">
      <c r="A35" t="s">
        <v>180</v>
      </c>
      <c r="D35" t="s">
        <v>304</v>
      </c>
    </row>
    <row r="36" spans="1:4">
      <c r="A36" t="s">
        <v>181</v>
      </c>
      <c r="D36" t="s">
        <v>305</v>
      </c>
    </row>
    <row r="37" spans="1:4">
      <c r="A37" t="s">
        <v>182</v>
      </c>
      <c r="D37" t="s">
        <v>258</v>
      </c>
    </row>
    <row r="38" spans="1:4">
      <c r="A38" t="s">
        <v>183</v>
      </c>
      <c r="D38" t="s">
        <v>259</v>
      </c>
    </row>
    <row r="39" spans="1:4">
      <c r="A39" t="s">
        <v>184</v>
      </c>
      <c r="D39" t="s">
        <v>306</v>
      </c>
    </row>
    <row r="40" spans="1:4">
      <c r="A40" t="s">
        <v>185</v>
      </c>
      <c r="D40" t="s">
        <v>307</v>
      </c>
    </row>
    <row r="41" spans="1:4">
      <c r="A41" t="s">
        <v>186</v>
      </c>
      <c r="D41" t="s">
        <v>308</v>
      </c>
    </row>
    <row r="42" spans="1:4">
      <c r="A42" t="s">
        <v>187</v>
      </c>
      <c r="D42" t="s">
        <v>309</v>
      </c>
    </row>
    <row r="43" spans="1:4">
      <c r="A43" t="s">
        <v>188</v>
      </c>
      <c r="D43" t="s">
        <v>260</v>
      </c>
    </row>
    <row r="44" spans="1:4">
      <c r="A44" t="s">
        <v>189</v>
      </c>
      <c r="D44" t="s">
        <v>261</v>
      </c>
    </row>
    <row r="45" spans="1:4">
      <c r="A45" t="s">
        <v>190</v>
      </c>
      <c r="D45" t="s">
        <v>186</v>
      </c>
    </row>
    <row r="46" spans="1:4">
      <c r="A46" t="s">
        <v>191</v>
      </c>
      <c r="D46" t="s">
        <v>178</v>
      </c>
    </row>
    <row r="47" spans="1:4">
      <c r="A47" t="s">
        <v>192</v>
      </c>
      <c r="D47" t="s">
        <v>187</v>
      </c>
    </row>
    <row r="48" spans="1:4">
      <c r="A48" t="s">
        <v>193</v>
      </c>
      <c r="D48" t="s">
        <v>179</v>
      </c>
    </row>
    <row r="49" spans="1:4">
      <c r="A49" t="s">
        <v>194</v>
      </c>
      <c r="D49" t="s">
        <v>188</v>
      </c>
    </row>
    <row r="50" spans="1:4">
      <c r="A50" t="s">
        <v>195</v>
      </c>
      <c r="D50" t="s">
        <v>180</v>
      </c>
    </row>
    <row r="51" spans="1:4">
      <c r="A51" t="s">
        <v>196</v>
      </c>
      <c r="D51" t="s">
        <v>189</v>
      </c>
    </row>
    <row r="52" spans="1:4">
      <c r="A52" t="s">
        <v>197</v>
      </c>
      <c r="D52" t="s">
        <v>181</v>
      </c>
    </row>
    <row r="53" spans="1:4">
      <c r="A53" t="s">
        <v>198</v>
      </c>
      <c r="D53" t="s">
        <v>150</v>
      </c>
    </row>
    <row r="54" spans="1:4">
      <c r="A54" t="s">
        <v>199</v>
      </c>
      <c r="D54" t="s">
        <v>158</v>
      </c>
    </row>
    <row r="55" spans="1:4">
      <c r="A55" t="s">
        <v>200</v>
      </c>
      <c r="D55" t="s">
        <v>151</v>
      </c>
    </row>
    <row r="56" spans="1:4">
      <c r="A56" t="s">
        <v>201</v>
      </c>
      <c r="D56" t="s">
        <v>159</v>
      </c>
    </row>
    <row r="57" spans="1:4">
      <c r="A57" t="s">
        <v>202</v>
      </c>
      <c r="D57" t="s">
        <v>152</v>
      </c>
    </row>
    <row r="58" spans="1:4">
      <c r="A58" t="s">
        <v>203</v>
      </c>
      <c r="D58" t="s">
        <v>160</v>
      </c>
    </row>
    <row r="59" spans="1:4">
      <c r="A59" t="s">
        <v>204</v>
      </c>
      <c r="D59" t="s">
        <v>153</v>
      </c>
    </row>
    <row r="60" spans="1:4">
      <c r="A60" t="s">
        <v>205</v>
      </c>
      <c r="D60" t="s">
        <v>161</v>
      </c>
    </row>
    <row r="61" spans="1:4">
      <c r="A61" t="s">
        <v>206</v>
      </c>
      <c r="D61" t="s">
        <v>210</v>
      </c>
    </row>
    <row r="62" spans="1:4">
      <c r="A62" t="s">
        <v>207</v>
      </c>
      <c r="D62" t="s">
        <v>211</v>
      </c>
    </row>
    <row r="63" spans="1:4">
      <c r="A63" t="s">
        <v>208</v>
      </c>
      <c r="D63" t="s">
        <v>212</v>
      </c>
    </row>
    <row r="64" spans="1:4">
      <c r="A64" t="s">
        <v>209</v>
      </c>
      <c r="D64" t="s">
        <v>213</v>
      </c>
    </row>
    <row r="65" spans="1:4">
      <c r="A65" t="s">
        <v>210</v>
      </c>
      <c r="D65" t="s">
        <v>214</v>
      </c>
    </row>
    <row r="66" spans="1:4">
      <c r="A66" t="s">
        <v>211</v>
      </c>
      <c r="D66" t="s">
        <v>215</v>
      </c>
    </row>
    <row r="67" spans="1:4">
      <c r="A67" t="s">
        <v>212</v>
      </c>
      <c r="D67" t="s">
        <v>216</v>
      </c>
    </row>
    <row r="68" spans="1:4">
      <c r="A68" t="s">
        <v>213</v>
      </c>
      <c r="D68" t="s">
        <v>217</v>
      </c>
    </row>
    <row r="69" spans="1:4">
      <c r="A69" t="s">
        <v>214</v>
      </c>
      <c r="D69" t="s">
        <v>310</v>
      </c>
    </row>
    <row r="70" spans="1:4">
      <c r="A70" t="s">
        <v>215</v>
      </c>
      <c r="D70" t="s">
        <v>311</v>
      </c>
    </row>
    <row r="71" spans="1:4">
      <c r="A71" t="s">
        <v>216</v>
      </c>
      <c r="D71" t="s">
        <v>312</v>
      </c>
    </row>
    <row r="72" spans="1:4">
      <c r="A72" t="s">
        <v>217</v>
      </c>
      <c r="D72" t="s">
        <v>313</v>
      </c>
    </row>
    <row r="73" spans="1:4">
      <c r="A73" t="s">
        <v>218</v>
      </c>
      <c r="D73" t="s">
        <v>218</v>
      </c>
    </row>
    <row r="74" spans="1:4">
      <c r="A74" t="s">
        <v>219</v>
      </c>
      <c r="D74" t="s">
        <v>219</v>
      </c>
    </row>
    <row r="75" spans="1:4">
      <c r="A75" t="s">
        <v>220</v>
      </c>
      <c r="D75" t="s">
        <v>222</v>
      </c>
    </row>
    <row r="76" spans="1:4">
      <c r="A76" t="s">
        <v>221</v>
      </c>
      <c r="D76" t="s">
        <v>223</v>
      </c>
    </row>
    <row r="77" spans="1:4">
      <c r="A77" t="s">
        <v>222</v>
      </c>
      <c r="D77" t="s">
        <v>314</v>
      </c>
    </row>
    <row r="78" spans="1:4">
      <c r="A78" t="s">
        <v>223</v>
      </c>
      <c r="D78" t="s">
        <v>315</v>
      </c>
    </row>
    <row r="79" spans="1:4">
      <c r="A79" t="s">
        <v>224</v>
      </c>
      <c r="D79" t="s">
        <v>316</v>
      </c>
    </row>
    <row r="80" spans="1:4">
      <c r="A80" t="s">
        <v>225</v>
      </c>
      <c r="D80" t="s">
        <v>317</v>
      </c>
    </row>
    <row r="81" spans="1:4">
      <c r="A81" t="s">
        <v>226</v>
      </c>
      <c r="D81" t="s">
        <v>318</v>
      </c>
    </row>
    <row r="82" spans="1:4">
      <c r="A82" t="s">
        <v>227</v>
      </c>
      <c r="D82" t="s">
        <v>319</v>
      </c>
    </row>
    <row r="83" spans="1:4">
      <c r="A83" t="s">
        <v>228</v>
      </c>
      <c r="D83" t="s">
        <v>320</v>
      </c>
    </row>
    <row r="84" spans="1:4">
      <c r="A84" t="s">
        <v>229</v>
      </c>
      <c r="D84" t="s">
        <v>321</v>
      </c>
    </row>
    <row r="85" spans="1:4">
      <c r="A85" t="s">
        <v>230</v>
      </c>
      <c r="D85" t="s">
        <v>322</v>
      </c>
    </row>
    <row r="86" spans="1:4">
      <c r="A86" t="s">
        <v>231</v>
      </c>
      <c r="D86" t="s">
        <v>323</v>
      </c>
    </row>
    <row r="87" spans="1:4">
      <c r="A87" t="s">
        <v>232</v>
      </c>
      <c r="D87" t="s">
        <v>324</v>
      </c>
    </row>
    <row r="88" spans="1:4">
      <c r="A88" t="s">
        <v>233</v>
      </c>
      <c r="D88" t="s">
        <v>325</v>
      </c>
    </row>
    <row r="89" spans="1:4">
      <c r="A89" t="s">
        <v>234</v>
      </c>
      <c r="D89" t="s">
        <v>326</v>
      </c>
    </row>
    <row r="90" spans="1:4">
      <c r="A90" t="s">
        <v>235</v>
      </c>
      <c r="D90" t="s">
        <v>327</v>
      </c>
    </row>
    <row r="91" spans="1:4">
      <c r="A91" t="s">
        <v>236</v>
      </c>
      <c r="D91" t="s">
        <v>328</v>
      </c>
    </row>
    <row r="92" spans="1:4">
      <c r="A92" t="s">
        <v>237</v>
      </c>
      <c r="D92" t="s">
        <v>329</v>
      </c>
    </row>
    <row r="93" spans="1:4">
      <c r="A93" t="s">
        <v>238</v>
      </c>
      <c r="D93" t="s">
        <v>330</v>
      </c>
    </row>
    <row r="94" spans="1:4">
      <c r="A94" t="s">
        <v>239</v>
      </c>
      <c r="D94" t="s">
        <v>331</v>
      </c>
    </row>
    <row r="95" spans="1:4">
      <c r="A95" t="s">
        <v>240</v>
      </c>
      <c r="D95" t="s">
        <v>332</v>
      </c>
    </row>
    <row r="96" spans="1:4">
      <c r="A96" t="s">
        <v>241</v>
      </c>
      <c r="D96" t="s">
        <v>333</v>
      </c>
    </row>
    <row r="97" spans="1:4">
      <c r="A97" t="s">
        <v>242</v>
      </c>
      <c r="D97" t="s">
        <v>334</v>
      </c>
    </row>
    <row r="98" spans="1:4">
      <c r="A98" t="s">
        <v>243</v>
      </c>
      <c r="D98" t="s">
        <v>335</v>
      </c>
    </row>
    <row r="99" spans="1:4">
      <c r="A99" t="s">
        <v>244</v>
      </c>
      <c r="D99" t="s">
        <v>336</v>
      </c>
    </row>
    <row r="100" spans="1:4">
      <c r="A100" t="s">
        <v>245</v>
      </c>
      <c r="D100" t="s">
        <v>337</v>
      </c>
    </row>
    <row r="101" spans="1:4">
      <c r="A101" t="s">
        <v>246</v>
      </c>
      <c r="D101" t="s">
        <v>338</v>
      </c>
    </row>
    <row r="102" spans="1:4">
      <c r="A102" t="s">
        <v>247</v>
      </c>
      <c r="D102" t="s">
        <v>339</v>
      </c>
    </row>
    <row r="103" spans="1:4">
      <c r="A103" t="s">
        <v>248</v>
      </c>
      <c r="D103" t="s">
        <v>340</v>
      </c>
    </row>
    <row r="104" spans="1:4">
      <c r="A104" t="s">
        <v>249</v>
      </c>
      <c r="D104" t="s">
        <v>341</v>
      </c>
    </row>
    <row r="105" spans="1:4">
      <c r="A105" t="s">
        <v>250</v>
      </c>
      <c r="D105" t="s">
        <v>342</v>
      </c>
    </row>
    <row r="106" spans="1:4">
      <c r="A106" t="s">
        <v>251</v>
      </c>
      <c r="D106" t="s">
        <v>343</v>
      </c>
    </row>
    <row r="107" spans="1:4">
      <c r="A107" t="s">
        <v>252</v>
      </c>
      <c r="D107" t="s">
        <v>344</v>
      </c>
    </row>
    <row r="108" spans="1:4">
      <c r="A108" t="s">
        <v>253</v>
      </c>
      <c r="D108" t="s">
        <v>345</v>
      </c>
    </row>
    <row r="109" spans="1:4">
      <c r="A109" t="s">
        <v>254</v>
      </c>
      <c r="D109" t="s">
        <v>346</v>
      </c>
    </row>
    <row r="110" spans="1:4">
      <c r="A110" t="s">
        <v>255</v>
      </c>
      <c r="D110" t="s">
        <v>347</v>
      </c>
    </row>
    <row r="111" spans="1:4">
      <c r="A111" t="s">
        <v>256</v>
      </c>
      <c r="D111" t="s">
        <v>348</v>
      </c>
    </row>
    <row r="112" spans="1:4">
      <c r="A112" t="s">
        <v>257</v>
      </c>
      <c r="D112" t="s">
        <v>349</v>
      </c>
    </row>
    <row r="113" spans="1:4">
      <c r="A113" t="s">
        <v>258</v>
      </c>
      <c r="D113" t="s">
        <v>350</v>
      </c>
    </row>
    <row r="114" spans="1:4">
      <c r="A114" t="s">
        <v>259</v>
      </c>
      <c r="D114" t="s">
        <v>351</v>
      </c>
    </row>
    <row r="115" spans="1:4">
      <c r="A115" t="s">
        <v>260</v>
      </c>
      <c r="D115" t="s">
        <v>352</v>
      </c>
    </row>
    <row r="116" spans="1:4">
      <c r="A116" t="s">
        <v>261</v>
      </c>
      <c r="D116" t="s">
        <v>353</v>
      </c>
    </row>
    <row r="117" spans="1:4">
      <c r="A117" t="s">
        <v>262</v>
      </c>
      <c r="D117" t="s">
        <v>354</v>
      </c>
    </row>
    <row r="118" spans="1:4">
      <c r="A118" t="s">
        <v>263</v>
      </c>
      <c r="D118" t="s">
        <v>355</v>
      </c>
    </row>
    <row r="119" spans="1:4">
      <c r="A119" t="s">
        <v>264</v>
      </c>
      <c r="D119" t="s">
        <v>356</v>
      </c>
    </row>
    <row r="120" spans="1:4">
      <c r="A120" t="s">
        <v>265</v>
      </c>
      <c r="D120" t="s">
        <v>357</v>
      </c>
    </row>
    <row r="121" spans="1:4">
      <c r="A121" t="s">
        <v>266</v>
      </c>
      <c r="D121" t="s">
        <v>235</v>
      </c>
    </row>
    <row r="122" spans="1:4">
      <c r="A122" t="s">
        <v>267</v>
      </c>
      <c r="D122" t="s">
        <v>234</v>
      </c>
    </row>
    <row r="123" spans="1:4">
      <c r="A123" t="s">
        <v>268</v>
      </c>
      <c r="D123" t="s">
        <v>239</v>
      </c>
    </row>
    <row r="124" spans="1:4">
      <c r="A124" t="s">
        <v>269</v>
      </c>
      <c r="D124" t="s">
        <v>238</v>
      </c>
    </row>
    <row r="125" spans="1:4">
      <c r="A125" t="s">
        <v>270</v>
      </c>
      <c r="D125" t="s">
        <v>282</v>
      </c>
    </row>
    <row r="126" spans="1:4">
      <c r="A126" t="s">
        <v>271</v>
      </c>
      <c r="D126" t="s">
        <v>283</v>
      </c>
    </row>
    <row r="127" spans="1:4">
      <c r="A127" t="s">
        <v>272</v>
      </c>
      <c r="D127" t="s">
        <v>284</v>
      </c>
    </row>
    <row r="128" spans="1:4">
      <c r="A128" t="s">
        <v>273</v>
      </c>
      <c r="D128" t="s">
        <v>285</v>
      </c>
    </row>
    <row r="129" spans="1:4">
      <c r="A129" t="s">
        <v>274</v>
      </c>
      <c r="D129" t="s">
        <v>286</v>
      </c>
    </row>
    <row r="130" spans="1:4">
      <c r="A130" t="s">
        <v>275</v>
      </c>
      <c r="D130" t="s">
        <v>287</v>
      </c>
    </row>
    <row r="131" spans="1:4">
      <c r="A131" t="s">
        <v>276</v>
      </c>
      <c r="D131" t="s">
        <v>288</v>
      </c>
    </row>
    <row r="132" spans="1:4">
      <c r="A132" t="s">
        <v>277</v>
      </c>
      <c r="D132" t="s">
        <v>289</v>
      </c>
    </row>
    <row r="133" spans="1:4">
      <c r="A133" t="s">
        <v>278</v>
      </c>
      <c r="D133" t="s">
        <v>358</v>
      </c>
    </row>
    <row r="134" spans="1:4">
      <c r="A134" t="s">
        <v>279</v>
      </c>
      <c r="D134" t="s">
        <v>359</v>
      </c>
    </row>
    <row r="135" spans="1:4">
      <c r="A135" t="s">
        <v>280</v>
      </c>
      <c r="D135" t="s">
        <v>360</v>
      </c>
    </row>
    <row r="136" spans="1:4">
      <c r="A136" t="s">
        <v>281</v>
      </c>
      <c r="D136" t="s">
        <v>361</v>
      </c>
    </row>
    <row r="137" spans="1:4">
      <c r="A137" t="s">
        <v>282</v>
      </c>
      <c r="D137" t="s">
        <v>362</v>
      </c>
    </row>
    <row r="138" spans="1:4">
      <c r="A138" t="s">
        <v>283</v>
      </c>
      <c r="D138" t="s">
        <v>363</v>
      </c>
    </row>
    <row r="139" spans="1:4">
      <c r="A139" t="s">
        <v>284</v>
      </c>
      <c r="D139" t="s">
        <v>364</v>
      </c>
    </row>
    <row r="140" spans="1:4">
      <c r="A140" t="s">
        <v>285</v>
      </c>
      <c r="D140" t="s">
        <v>365</v>
      </c>
    </row>
    <row r="141" spans="1:4">
      <c r="A141" t="s">
        <v>286</v>
      </c>
      <c r="D141" t="s">
        <v>366</v>
      </c>
    </row>
    <row r="142" spans="1:4">
      <c r="A142" t="s">
        <v>287</v>
      </c>
      <c r="D142" t="s">
        <v>367</v>
      </c>
    </row>
    <row r="143" spans="1:4">
      <c r="A143" t="s">
        <v>288</v>
      </c>
      <c r="D143" t="s">
        <v>368</v>
      </c>
    </row>
    <row r="144" spans="1:4">
      <c r="A144" t="s">
        <v>289</v>
      </c>
      <c r="D144" t="s">
        <v>369</v>
      </c>
    </row>
    <row r="145" spans="1:4">
      <c r="A145" t="s">
        <v>290</v>
      </c>
      <c r="D145" t="s">
        <v>370</v>
      </c>
    </row>
    <row r="146" spans="1:4">
      <c r="A146" t="s">
        <v>291</v>
      </c>
      <c r="D146" t="s">
        <v>371</v>
      </c>
    </row>
    <row r="147" spans="1:4">
      <c r="A147" t="s">
        <v>292</v>
      </c>
      <c r="D147" t="s">
        <v>372</v>
      </c>
    </row>
    <row r="148" spans="1:4">
      <c r="A148" t="s">
        <v>293</v>
      </c>
      <c r="D148" t="s">
        <v>373</v>
      </c>
    </row>
    <row r="149" spans="1:4">
      <c r="A149" t="s">
        <v>294</v>
      </c>
      <c r="D149" t="s">
        <v>374</v>
      </c>
    </row>
    <row r="150" spans="1:4">
      <c r="A150" t="s">
        <v>295</v>
      </c>
      <c r="D150" t="s">
        <v>375</v>
      </c>
    </row>
    <row r="151" spans="1:4">
      <c r="A151" t="s">
        <v>296</v>
      </c>
      <c r="D151" t="s">
        <v>376</v>
      </c>
    </row>
    <row r="152" spans="1:4">
      <c r="A152" t="s">
        <v>297</v>
      </c>
      <c r="D152" t="s">
        <v>377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>
      <selection activeCell="C32" sqref="C32"/>
    </sheetView>
  </sheetViews>
  <sheetFormatPr baseColWidth="10" defaultColWidth="9" defaultRowHeight="16"/>
  <cols>
    <col min="1" max="1" width="3.83203125" style="11" bestFit="1" customWidth="1"/>
    <col min="2" max="2" width="42.6640625" style="11" bestFit="1" customWidth="1"/>
    <col min="3" max="3" width="17.83203125" style="11" bestFit="1" customWidth="1"/>
    <col min="4" max="4" width="8.1640625" style="11" bestFit="1" customWidth="1"/>
    <col min="5" max="5" width="10" style="11" bestFit="1" customWidth="1"/>
    <col min="6" max="6" width="9" style="11"/>
    <col min="7" max="7" width="10.1640625" style="11" bestFit="1" customWidth="1"/>
    <col min="8" max="9" width="9" style="11"/>
    <col min="10" max="10" width="12.6640625" style="11" bestFit="1" customWidth="1"/>
    <col min="11" max="11" width="7.5" style="11" bestFit="1" customWidth="1"/>
    <col min="12" max="12" width="13.1640625" style="11" bestFit="1" customWidth="1"/>
    <col min="13" max="13" width="5.5" style="11" bestFit="1" customWidth="1"/>
    <col min="14" max="15" width="9" style="11"/>
    <col min="16" max="16" width="19.83203125" style="11" bestFit="1" customWidth="1"/>
    <col min="17" max="17" width="22.6640625" style="11" bestFit="1" customWidth="1"/>
    <col min="18" max="16384" width="9" style="11"/>
  </cols>
  <sheetData>
    <row r="1" spans="1:17" ht="18">
      <c r="A1" s="1"/>
      <c r="B1" s="2" t="s">
        <v>10</v>
      </c>
      <c r="C1" s="2" t="s">
        <v>378</v>
      </c>
      <c r="D1" s="2" t="s">
        <v>21</v>
      </c>
      <c r="E1" s="3" t="s">
        <v>379</v>
      </c>
      <c r="G1" s="10" t="s">
        <v>36</v>
      </c>
      <c r="H1" s="12">
        <v>1.25</v>
      </c>
      <c r="J1" s="1" t="s">
        <v>22</v>
      </c>
      <c r="K1" s="13">
        <f>H2*H7*1</f>
        <v>0.8</v>
      </c>
      <c r="L1" s="13" t="s">
        <v>23</v>
      </c>
      <c r="M1" s="12">
        <f>H4*H7*1</f>
        <v>1</v>
      </c>
      <c r="O1" s="4"/>
      <c r="P1" s="4" t="s">
        <v>14</v>
      </c>
      <c r="Q1" s="4" t="s">
        <v>145</v>
      </c>
    </row>
    <row r="2" spans="1:17" ht="18">
      <c r="A2" s="104" t="s">
        <v>6</v>
      </c>
      <c r="B2" s="4" t="s">
        <v>0</v>
      </c>
      <c r="C2" s="4">
        <v>0.28000000000000003</v>
      </c>
      <c r="D2" s="4">
        <f>36*30</f>
        <v>1080</v>
      </c>
      <c r="E2" s="5">
        <f t="shared" ref="E2:E7" si="0">C2*D2</f>
        <v>302.40000000000003</v>
      </c>
      <c r="G2" s="14" t="s">
        <v>32</v>
      </c>
      <c r="H2" s="5">
        <v>0.8</v>
      </c>
      <c r="J2" s="14" t="s">
        <v>24</v>
      </c>
      <c r="K2" s="4">
        <f>H3*H8*1</f>
        <v>0.45</v>
      </c>
      <c r="L2" s="4" t="s">
        <v>25</v>
      </c>
      <c r="M2" s="5">
        <f>H5*H8*1</f>
        <v>0.55000000000000004</v>
      </c>
      <c r="O2" s="4"/>
      <c r="P2" s="4" t="s">
        <v>26</v>
      </c>
      <c r="Q2" s="4" t="s">
        <v>27</v>
      </c>
    </row>
    <row r="3" spans="1:17" ht="19" thickBot="1">
      <c r="A3" s="105"/>
      <c r="B3" s="4" t="s">
        <v>1</v>
      </c>
      <c r="C3" s="4">
        <v>0.15</v>
      </c>
      <c r="D3" s="4">
        <f>36*30</f>
        <v>1080</v>
      </c>
      <c r="E3" s="5">
        <f t="shared" si="0"/>
        <v>162</v>
      </c>
      <c r="G3" s="14" t="s">
        <v>33</v>
      </c>
      <c r="H3" s="5">
        <v>0.45</v>
      </c>
      <c r="J3" s="15" t="s">
        <v>28</v>
      </c>
      <c r="K3" s="16">
        <f>K2/K1</f>
        <v>0.5625</v>
      </c>
      <c r="L3" s="16" t="s">
        <v>29</v>
      </c>
      <c r="M3" s="17">
        <f>M2/M1</f>
        <v>0.55000000000000004</v>
      </c>
      <c r="O3" s="4" t="s">
        <v>18</v>
      </c>
      <c r="P3" s="4">
        <v>4.8</v>
      </c>
      <c r="Q3" s="4">
        <v>4.8</v>
      </c>
    </row>
    <row r="4" spans="1:17" ht="18">
      <c r="A4" s="105"/>
      <c r="B4" s="4" t="s">
        <v>2</v>
      </c>
      <c r="C4" s="4">
        <v>0.1</v>
      </c>
      <c r="D4" s="4">
        <f>(36*2+33*2)*3.8*0.5</f>
        <v>262.2</v>
      </c>
      <c r="E4" s="5">
        <f t="shared" si="0"/>
        <v>26.22</v>
      </c>
      <c r="G4" s="14" t="s">
        <v>34</v>
      </c>
      <c r="H4" s="5">
        <v>1</v>
      </c>
      <c r="O4" s="4" t="s">
        <v>15</v>
      </c>
      <c r="P4" s="4">
        <v>0.65429999999999999</v>
      </c>
      <c r="Q4" s="4">
        <v>0.53890000000000005</v>
      </c>
    </row>
    <row r="5" spans="1:17" ht="19" thickBot="1">
      <c r="A5" s="105"/>
      <c r="B5" s="4" t="s">
        <v>13</v>
      </c>
      <c r="C5" s="4">
        <v>0.1</v>
      </c>
      <c r="D5" s="4">
        <f>(36*2+33*2)*1.4</f>
        <v>193.2</v>
      </c>
      <c r="E5" s="5">
        <f t="shared" si="0"/>
        <v>19.32</v>
      </c>
      <c r="G5" s="15" t="s">
        <v>35</v>
      </c>
      <c r="H5" s="17">
        <v>0.55000000000000004</v>
      </c>
      <c r="O5" s="4" t="s">
        <v>16</v>
      </c>
      <c r="P5" s="20">
        <f>0.45/P4</f>
        <v>0.68775790921595603</v>
      </c>
      <c r="Q5" s="4">
        <f>0.8</f>
        <v>0.8</v>
      </c>
    </row>
    <row r="6" spans="1:17" ht="17" thickBot="1">
      <c r="A6" s="105"/>
      <c r="B6" s="4" t="s">
        <v>4</v>
      </c>
      <c r="C6" s="4">
        <v>0.1</v>
      </c>
      <c r="D6" s="4">
        <f>36*30</f>
        <v>1080</v>
      </c>
      <c r="E6" s="5">
        <f t="shared" si="0"/>
        <v>108</v>
      </c>
      <c r="O6" s="4" t="s">
        <v>17</v>
      </c>
      <c r="P6" s="20">
        <f>0.55/P4</f>
        <v>0.84059300015283522</v>
      </c>
      <c r="Q6" s="4">
        <v>1</v>
      </c>
    </row>
    <row r="7" spans="1:17" ht="18">
      <c r="A7" s="105"/>
      <c r="B7" s="4" t="s">
        <v>3</v>
      </c>
      <c r="C7" s="4">
        <v>1</v>
      </c>
      <c r="D7" s="4">
        <v>64</v>
      </c>
      <c r="E7" s="5">
        <f t="shared" si="0"/>
        <v>64</v>
      </c>
      <c r="G7" s="10" t="s">
        <v>30</v>
      </c>
      <c r="H7" s="18">
        <v>1</v>
      </c>
      <c r="O7" s="4" t="s">
        <v>19</v>
      </c>
      <c r="P7" s="21">
        <f>1+(P3-1)/1.5</f>
        <v>3.5333333333333332</v>
      </c>
      <c r="Q7" s="21">
        <f>1+(Q3-1)/1.5</f>
        <v>3.5333333333333332</v>
      </c>
    </row>
    <row r="8" spans="1:17" ht="19" thickBot="1">
      <c r="A8" s="106"/>
      <c r="B8" s="101" t="s">
        <v>12</v>
      </c>
      <c r="C8" s="102"/>
      <c r="D8" s="103"/>
      <c r="E8" s="7">
        <f>SUM(E2:E7)</f>
        <v>681.94</v>
      </c>
      <c r="G8" s="19" t="s">
        <v>31</v>
      </c>
      <c r="H8" s="6">
        <v>1</v>
      </c>
      <c r="O8" s="4" t="s">
        <v>20</v>
      </c>
      <c r="P8" s="21">
        <f>P7</f>
        <v>3.5333333333333332</v>
      </c>
      <c r="Q8" s="21">
        <v>3.4209999999999998</v>
      </c>
    </row>
    <row r="9" spans="1:17">
      <c r="A9" s="104" t="s">
        <v>7</v>
      </c>
      <c r="B9" s="4" t="s">
        <v>0</v>
      </c>
      <c r="C9" s="4">
        <v>280</v>
      </c>
      <c r="D9" s="4">
        <f>36*33</f>
        <v>1188</v>
      </c>
      <c r="E9" s="5">
        <f>C9*D9</f>
        <v>332640</v>
      </c>
    </row>
    <row r="10" spans="1:17">
      <c r="A10" s="105"/>
      <c r="B10" s="4" t="s">
        <v>1</v>
      </c>
      <c r="C10" s="4">
        <v>150</v>
      </c>
      <c r="D10" s="4">
        <f>36*33</f>
        <v>1188</v>
      </c>
      <c r="E10" s="5">
        <f>C10*D10</f>
        <v>178200</v>
      </c>
    </row>
    <row r="11" spans="1:17">
      <c r="A11" s="105"/>
      <c r="B11" s="4" t="s">
        <v>2</v>
      </c>
      <c r="C11" s="4">
        <v>120</v>
      </c>
      <c r="D11" s="4">
        <f>(36*2+33*2)*3.8</f>
        <v>524.4</v>
      </c>
      <c r="E11" s="5">
        <f>C11*D11</f>
        <v>62928</v>
      </c>
    </row>
    <row r="12" spans="1:17">
      <c r="A12" s="105"/>
      <c r="B12" s="4" t="s">
        <v>5</v>
      </c>
      <c r="C12" s="4">
        <v>100</v>
      </c>
      <c r="D12" s="4">
        <f>36*33</f>
        <v>1188</v>
      </c>
      <c r="E12" s="5">
        <f>C12*D12</f>
        <v>118800</v>
      </c>
    </row>
    <row r="13" spans="1:17">
      <c r="A13" s="105"/>
      <c r="B13" s="4" t="s">
        <v>4</v>
      </c>
      <c r="C13" s="4">
        <v>80</v>
      </c>
      <c r="D13" s="4">
        <f>36*33</f>
        <v>1188</v>
      </c>
      <c r="E13" s="5">
        <f>C13*D13</f>
        <v>95040</v>
      </c>
    </row>
    <row r="14" spans="1:17">
      <c r="A14" s="106"/>
      <c r="B14" s="101" t="s">
        <v>12</v>
      </c>
      <c r="C14" s="102"/>
      <c r="D14" s="103"/>
      <c r="E14" s="7">
        <f>SUM(E9:E13)</f>
        <v>787608</v>
      </c>
    </row>
    <row r="15" spans="1:17">
      <c r="A15" s="104" t="s">
        <v>8</v>
      </c>
      <c r="B15" s="4" t="s">
        <v>0</v>
      </c>
      <c r="C15" s="4">
        <v>280</v>
      </c>
      <c r="D15" s="4">
        <f>36*33</f>
        <v>1188</v>
      </c>
      <c r="E15" s="5">
        <f>C15*D15</f>
        <v>332640</v>
      </c>
    </row>
    <row r="16" spans="1:17">
      <c r="A16" s="105"/>
      <c r="B16" s="4" t="s">
        <v>1</v>
      </c>
      <c r="C16" s="4">
        <v>150</v>
      </c>
      <c r="D16" s="4">
        <f>36*33</f>
        <v>1188</v>
      </c>
      <c r="E16" s="5">
        <f>C16*D16</f>
        <v>178200</v>
      </c>
    </row>
    <row r="17" spans="1:5">
      <c r="A17" s="105"/>
      <c r="B17" s="4" t="s">
        <v>2</v>
      </c>
      <c r="C17" s="4">
        <v>120</v>
      </c>
      <c r="D17" s="4">
        <f>(36*2+33*2)*3.8</f>
        <v>524.4</v>
      </c>
      <c r="E17" s="5">
        <f>C17*D17</f>
        <v>62928</v>
      </c>
    </row>
    <row r="18" spans="1:5">
      <c r="A18" s="105"/>
      <c r="B18" s="4" t="s">
        <v>5</v>
      </c>
      <c r="C18" s="4">
        <v>100</v>
      </c>
      <c r="D18" s="4">
        <f>36*33</f>
        <v>1188</v>
      </c>
      <c r="E18" s="5">
        <f>C18*D18</f>
        <v>118800</v>
      </c>
    </row>
    <row r="19" spans="1:5">
      <c r="A19" s="105"/>
      <c r="B19" s="4" t="s">
        <v>4</v>
      </c>
      <c r="C19" s="4">
        <v>80</v>
      </c>
      <c r="D19" s="4">
        <f>36*33</f>
        <v>1188</v>
      </c>
      <c r="E19" s="5">
        <f>C19*D19</f>
        <v>95040</v>
      </c>
    </row>
    <row r="20" spans="1:5">
      <c r="A20" s="106"/>
      <c r="B20" s="101" t="s">
        <v>12</v>
      </c>
      <c r="C20" s="102"/>
      <c r="D20" s="103"/>
      <c r="E20" s="7">
        <f>SUM(E15:E19)</f>
        <v>787608</v>
      </c>
    </row>
    <row r="21" spans="1:5">
      <c r="A21" s="104" t="s">
        <v>9</v>
      </c>
      <c r="B21" s="4" t="s">
        <v>0</v>
      </c>
      <c r="C21" s="4">
        <v>280</v>
      </c>
      <c r="D21" s="4">
        <f>36*33</f>
        <v>1188</v>
      </c>
      <c r="E21" s="5">
        <f>C21*D21</f>
        <v>332640</v>
      </c>
    </row>
    <row r="22" spans="1:5">
      <c r="A22" s="105"/>
      <c r="B22" s="4" t="s">
        <v>1</v>
      </c>
      <c r="C22" s="4">
        <v>150</v>
      </c>
      <c r="D22" s="4">
        <f>36*33</f>
        <v>1188</v>
      </c>
      <c r="E22" s="5">
        <f>C22*D22</f>
        <v>178200</v>
      </c>
    </row>
    <row r="23" spans="1:5">
      <c r="A23" s="105"/>
      <c r="B23" s="4" t="s">
        <v>2</v>
      </c>
      <c r="C23" s="4">
        <v>120</v>
      </c>
      <c r="D23" s="4">
        <f>(36*2+33*2)*3.8</f>
        <v>524.4</v>
      </c>
      <c r="E23" s="5">
        <f>C23*D23</f>
        <v>62928</v>
      </c>
    </row>
    <row r="24" spans="1:5">
      <c r="A24" s="105"/>
      <c r="B24" s="4" t="s">
        <v>5</v>
      </c>
      <c r="C24" s="4">
        <v>100</v>
      </c>
      <c r="D24" s="4">
        <f>36*33</f>
        <v>1188</v>
      </c>
      <c r="E24" s="5">
        <f>C24*D24</f>
        <v>118800</v>
      </c>
    </row>
    <row r="25" spans="1:5">
      <c r="A25" s="105"/>
      <c r="B25" s="4" t="s">
        <v>4</v>
      </c>
      <c r="C25" s="4">
        <v>80</v>
      </c>
      <c r="D25" s="4">
        <f>36*33</f>
        <v>1188</v>
      </c>
      <c r="E25" s="5">
        <f>C25*D25</f>
        <v>95040</v>
      </c>
    </row>
    <row r="26" spans="1:5">
      <c r="A26" s="106"/>
      <c r="B26" s="101" t="s">
        <v>12</v>
      </c>
      <c r="C26" s="102"/>
      <c r="D26" s="103"/>
      <c r="E26" s="8">
        <f>SUM(E21:E25)</f>
        <v>787608</v>
      </c>
    </row>
    <row r="27" spans="1:5" ht="17" thickBot="1">
      <c r="A27" s="98" t="s">
        <v>11</v>
      </c>
      <c r="B27" s="99"/>
      <c r="C27" s="99"/>
      <c r="D27" s="100"/>
      <c r="E27" s="9">
        <f>E8+E14+E20+E26</f>
        <v>2363505.94</v>
      </c>
    </row>
  </sheetData>
  <mergeCells count="9">
    <mergeCell ref="A27:D27"/>
    <mergeCell ref="B8:D8"/>
    <mergeCell ref="A2:A8"/>
    <mergeCell ref="B14:D14"/>
    <mergeCell ref="A9:A14"/>
    <mergeCell ref="A15:A20"/>
    <mergeCell ref="B20:D20"/>
    <mergeCell ref="B26:D26"/>
    <mergeCell ref="A21:A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>
      <selection sqref="A1:F26"/>
    </sheetView>
  </sheetViews>
  <sheetFormatPr baseColWidth="10" defaultColWidth="8.83203125" defaultRowHeight="15"/>
  <cols>
    <col min="1" max="1" width="3.83203125" bestFit="1" customWidth="1"/>
    <col min="2" max="2" width="42.6640625" bestFit="1" customWidth="1"/>
    <col min="3" max="3" width="17.83203125" bestFit="1" customWidth="1"/>
    <col min="4" max="4" width="8.1640625" bestFit="1" customWidth="1"/>
    <col min="5" max="5" width="10" bestFit="1" customWidth="1"/>
    <col min="6" max="6" width="14.1640625" bestFit="1" customWidth="1"/>
  </cols>
  <sheetData>
    <row r="1" spans="1:6" ht="16">
      <c r="A1" s="1"/>
      <c r="B1" s="51" t="s">
        <v>10</v>
      </c>
      <c r="C1" s="51" t="s">
        <v>380</v>
      </c>
      <c r="D1" s="51" t="s">
        <v>381</v>
      </c>
      <c r="E1" s="51" t="s">
        <v>379</v>
      </c>
      <c r="F1" s="52" t="s">
        <v>382</v>
      </c>
    </row>
    <row r="2" spans="1:6" ht="16">
      <c r="A2" s="107" t="s">
        <v>6</v>
      </c>
      <c r="B2" s="23" t="s">
        <v>0</v>
      </c>
      <c r="C2" s="23">
        <v>0.28000000000000003</v>
      </c>
      <c r="D2" s="23">
        <f>36*30</f>
        <v>1080</v>
      </c>
      <c r="E2" s="23">
        <f>C2*D2</f>
        <v>302.40000000000003</v>
      </c>
      <c r="F2" s="53"/>
    </row>
    <row r="3" spans="1:6" ht="16">
      <c r="A3" s="108"/>
      <c r="B3" s="23" t="s">
        <v>1</v>
      </c>
      <c r="C3" s="23">
        <v>0.15</v>
      </c>
      <c r="D3" s="23">
        <f>36*30</f>
        <v>1080</v>
      </c>
      <c r="E3" s="23">
        <f>C3*D3</f>
        <v>162</v>
      </c>
      <c r="F3" s="53"/>
    </row>
    <row r="4" spans="1:6" ht="16">
      <c r="A4" s="108"/>
      <c r="B4" s="23" t="s">
        <v>13</v>
      </c>
      <c r="C4" s="23">
        <f>0.1</f>
        <v>0.1</v>
      </c>
      <c r="D4" s="23">
        <f>(36*2+30*2)*1.4</f>
        <v>184.79999999999998</v>
      </c>
      <c r="E4" s="23">
        <f>C4*D4</f>
        <v>18.48</v>
      </c>
      <c r="F4" s="53"/>
    </row>
    <row r="5" spans="1:6" ht="16">
      <c r="A5" s="108"/>
      <c r="B5" s="23" t="s">
        <v>4</v>
      </c>
      <c r="C5" s="23">
        <v>0.1</v>
      </c>
      <c r="D5" s="23">
        <f>36*30</f>
        <v>1080</v>
      </c>
      <c r="E5" s="23">
        <f>C5*D5</f>
        <v>108</v>
      </c>
      <c r="F5" s="53"/>
    </row>
    <row r="6" spans="1:6" ht="16">
      <c r="A6" s="108"/>
      <c r="B6" s="23" t="s">
        <v>3</v>
      </c>
      <c r="C6" s="23">
        <v>1</v>
      </c>
      <c r="D6" s="23">
        <v>64</v>
      </c>
      <c r="E6" s="23">
        <f>C6*D6</f>
        <v>64</v>
      </c>
      <c r="F6" s="53"/>
    </row>
    <row r="7" spans="1:6" ht="16">
      <c r="A7" s="109"/>
      <c r="B7" s="101" t="s">
        <v>12</v>
      </c>
      <c r="C7" s="102"/>
      <c r="D7" s="103"/>
      <c r="E7" s="50">
        <f>SUM(E2:E6)</f>
        <v>654.88000000000011</v>
      </c>
      <c r="F7" s="53"/>
    </row>
    <row r="8" spans="1:6" ht="16">
      <c r="A8" s="107" t="s">
        <v>7</v>
      </c>
      <c r="B8" s="23" t="s">
        <v>0</v>
      </c>
      <c r="C8" s="23">
        <v>0.28000000000000003</v>
      </c>
      <c r="D8" s="23">
        <f>36*30</f>
        <v>1080</v>
      </c>
      <c r="E8" s="23">
        <f>C8*D8</f>
        <v>302.40000000000003</v>
      </c>
      <c r="F8" s="53"/>
    </row>
    <row r="9" spans="1:6" ht="16">
      <c r="A9" s="108"/>
      <c r="B9" s="23" t="s">
        <v>1</v>
      </c>
      <c r="C9" s="23">
        <v>0.15</v>
      </c>
      <c r="D9" s="23">
        <f>36*30</f>
        <v>1080</v>
      </c>
      <c r="E9" s="23">
        <f>C9*D9</f>
        <v>162</v>
      </c>
      <c r="F9" s="53"/>
    </row>
    <row r="10" spans="1:6" ht="16">
      <c r="A10" s="108"/>
      <c r="B10" s="23" t="s">
        <v>2</v>
      </c>
      <c r="C10" s="23">
        <v>0.1</v>
      </c>
      <c r="D10" s="23">
        <f>(36*2+30*2)*4*0.7</f>
        <v>369.59999999999997</v>
      </c>
      <c r="E10" s="23">
        <f>C10*D10</f>
        <v>36.96</v>
      </c>
      <c r="F10" s="53" t="s">
        <v>383</v>
      </c>
    </row>
    <row r="11" spans="1:6" ht="16">
      <c r="A11" s="108"/>
      <c r="B11" s="23" t="s">
        <v>5</v>
      </c>
      <c r="C11" s="23">
        <v>0.1</v>
      </c>
      <c r="D11" s="23">
        <f>36*30</f>
        <v>1080</v>
      </c>
      <c r="E11" s="23">
        <f>C11*D11</f>
        <v>108</v>
      </c>
      <c r="F11" s="53"/>
    </row>
    <row r="12" spans="1:6" ht="16">
      <c r="A12" s="108"/>
      <c r="B12" s="23" t="s">
        <v>4</v>
      </c>
      <c r="C12" s="23">
        <v>0.1</v>
      </c>
      <c r="D12" s="23">
        <f>36*30</f>
        <v>1080</v>
      </c>
      <c r="E12" s="23">
        <f>C12*D12</f>
        <v>108</v>
      </c>
      <c r="F12" s="53"/>
    </row>
    <row r="13" spans="1:6" ht="16">
      <c r="A13" s="109"/>
      <c r="B13" s="101" t="s">
        <v>12</v>
      </c>
      <c r="C13" s="102"/>
      <c r="D13" s="103"/>
      <c r="E13" s="50">
        <f>SUM(E8:E12)</f>
        <v>717.36</v>
      </c>
      <c r="F13" s="53"/>
    </row>
    <row r="14" spans="1:6" ht="16">
      <c r="A14" s="107" t="s">
        <v>8</v>
      </c>
      <c r="B14" s="23" t="s">
        <v>0</v>
      </c>
      <c r="C14" s="23">
        <v>0.28000000000000003</v>
      </c>
      <c r="D14" s="23">
        <f>36*30</f>
        <v>1080</v>
      </c>
      <c r="E14" s="23">
        <f>C14*D14</f>
        <v>302.40000000000003</v>
      </c>
      <c r="F14" s="53"/>
    </row>
    <row r="15" spans="1:6" ht="16">
      <c r="A15" s="108"/>
      <c r="B15" s="23" t="s">
        <v>1</v>
      </c>
      <c r="C15" s="23">
        <v>0.15</v>
      </c>
      <c r="D15" s="23">
        <f>36*30</f>
        <v>1080</v>
      </c>
      <c r="E15" s="23">
        <f>C15*D15</f>
        <v>162</v>
      </c>
      <c r="F15" s="53"/>
    </row>
    <row r="16" spans="1:6" ht="16">
      <c r="A16" s="108"/>
      <c r="B16" s="23" t="s">
        <v>2</v>
      </c>
      <c r="C16" s="23">
        <v>0.1</v>
      </c>
      <c r="D16" s="23">
        <f>(36*2+30*2)*4*0.7</f>
        <v>369.59999999999997</v>
      </c>
      <c r="E16" s="23">
        <f>C16*D16</f>
        <v>36.96</v>
      </c>
      <c r="F16" s="53" t="s">
        <v>383</v>
      </c>
    </row>
    <row r="17" spans="1:6" ht="16">
      <c r="A17" s="108"/>
      <c r="B17" s="23" t="s">
        <v>5</v>
      </c>
      <c r="C17" s="23">
        <v>0.1</v>
      </c>
      <c r="D17" s="23">
        <f>36*30</f>
        <v>1080</v>
      </c>
      <c r="E17" s="23">
        <f>C17*D17</f>
        <v>108</v>
      </c>
      <c r="F17" s="53"/>
    </row>
    <row r="18" spans="1:6" ht="16">
      <c r="A18" s="108"/>
      <c r="B18" s="23" t="s">
        <v>4</v>
      </c>
      <c r="C18" s="23">
        <v>0.1</v>
      </c>
      <c r="D18" s="23">
        <f>36*30</f>
        <v>1080</v>
      </c>
      <c r="E18" s="23">
        <f>C18*D18</f>
        <v>108</v>
      </c>
      <c r="F18" s="53"/>
    </row>
    <row r="19" spans="1:6" ht="16">
      <c r="A19" s="109"/>
      <c r="B19" s="101" t="s">
        <v>12</v>
      </c>
      <c r="C19" s="102"/>
      <c r="D19" s="103"/>
      <c r="E19" s="50">
        <f>SUM(E14:E18)</f>
        <v>717.36</v>
      </c>
      <c r="F19" s="53"/>
    </row>
    <row r="20" spans="1:6" ht="16">
      <c r="A20" s="107" t="s">
        <v>9</v>
      </c>
      <c r="B20" s="23" t="s">
        <v>0</v>
      </c>
      <c r="C20" s="23">
        <v>0.28000000000000003</v>
      </c>
      <c r="D20" s="23">
        <f>36*30</f>
        <v>1080</v>
      </c>
      <c r="E20" s="23">
        <f>C20*D20</f>
        <v>302.40000000000003</v>
      </c>
      <c r="F20" s="53"/>
    </row>
    <row r="21" spans="1:6" ht="16">
      <c r="A21" s="108"/>
      <c r="B21" s="23" t="s">
        <v>1</v>
      </c>
      <c r="C21" s="23">
        <v>0.15</v>
      </c>
      <c r="D21" s="23">
        <f>36*30</f>
        <v>1080</v>
      </c>
      <c r="E21" s="23">
        <f>C21*D21</f>
        <v>162</v>
      </c>
      <c r="F21" s="53"/>
    </row>
    <row r="22" spans="1:6" ht="16">
      <c r="A22" s="108"/>
      <c r="B22" s="23" t="s">
        <v>2</v>
      </c>
      <c r="C22" s="23">
        <v>0.1</v>
      </c>
      <c r="D22" s="23">
        <f>(36*2+30*2)*4*0.7</f>
        <v>369.59999999999997</v>
      </c>
      <c r="E22" s="23">
        <f>C22*D22</f>
        <v>36.96</v>
      </c>
      <c r="F22" s="53" t="s">
        <v>383</v>
      </c>
    </row>
    <row r="23" spans="1:6" ht="16">
      <c r="A23" s="108"/>
      <c r="B23" s="23" t="s">
        <v>5</v>
      </c>
      <c r="C23" s="23">
        <v>0.1</v>
      </c>
      <c r="D23" s="23">
        <f>36*30</f>
        <v>1080</v>
      </c>
      <c r="E23" s="23">
        <f>C23*D23</f>
        <v>108</v>
      </c>
      <c r="F23" s="53"/>
    </row>
    <row r="24" spans="1:6" ht="16">
      <c r="A24" s="108"/>
      <c r="B24" s="23" t="s">
        <v>4</v>
      </c>
      <c r="C24" s="23">
        <v>0.1</v>
      </c>
      <c r="D24" s="23">
        <f>36*30</f>
        <v>1080</v>
      </c>
      <c r="E24" s="23">
        <f>C24*D24</f>
        <v>108</v>
      </c>
      <c r="F24" s="53"/>
    </row>
    <row r="25" spans="1:6" ht="16">
      <c r="A25" s="109"/>
      <c r="B25" s="101" t="s">
        <v>12</v>
      </c>
      <c r="C25" s="102"/>
      <c r="D25" s="103"/>
      <c r="E25" s="50">
        <f>SUM(E20:E24)</f>
        <v>717.36</v>
      </c>
      <c r="F25" s="53"/>
    </row>
    <row r="26" spans="1:6" ht="17" thickBot="1">
      <c r="A26" s="98" t="s">
        <v>11</v>
      </c>
      <c r="B26" s="99"/>
      <c r="C26" s="99"/>
      <c r="D26" s="100"/>
      <c r="E26" s="54">
        <f>E7+E13+E19+E25</f>
        <v>2806.9600000000005</v>
      </c>
      <c r="F26" s="55"/>
    </row>
  </sheetData>
  <mergeCells count="9">
    <mergeCell ref="B25:D25"/>
    <mergeCell ref="A26:D26"/>
    <mergeCell ref="A2:A7"/>
    <mergeCell ref="B7:D7"/>
    <mergeCell ref="A8:A13"/>
    <mergeCell ref="B13:D13"/>
    <mergeCell ref="A14:A19"/>
    <mergeCell ref="B19:D19"/>
    <mergeCell ref="A20:A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8"/>
  <sheetViews>
    <sheetView workbookViewId="0">
      <selection sqref="A1:H5"/>
    </sheetView>
  </sheetViews>
  <sheetFormatPr baseColWidth="10" defaultColWidth="8.83203125" defaultRowHeight="15"/>
  <cols>
    <col min="1" max="1" width="5.6640625" bestFit="1" customWidth="1"/>
    <col min="2" max="3" width="6.33203125" bestFit="1" customWidth="1"/>
    <col min="4" max="4" width="14.1640625" customWidth="1"/>
    <col min="5" max="5" width="10.1640625" bestFit="1" customWidth="1"/>
    <col min="6" max="7" width="12.6640625" bestFit="1" customWidth="1"/>
    <col min="8" max="8" width="12.1640625" customWidth="1"/>
  </cols>
  <sheetData>
    <row r="1" spans="1:18" ht="80">
      <c r="A1" s="25" t="s">
        <v>48</v>
      </c>
      <c r="B1" s="25" t="s">
        <v>50</v>
      </c>
      <c r="C1" s="25" t="s">
        <v>51</v>
      </c>
      <c r="D1" s="26" t="s">
        <v>49</v>
      </c>
      <c r="E1" s="27" t="s">
        <v>52</v>
      </c>
      <c r="F1" s="28" t="s">
        <v>53</v>
      </c>
      <c r="G1" s="28" t="s">
        <v>54</v>
      </c>
      <c r="H1" s="28" t="s">
        <v>55</v>
      </c>
      <c r="K1" s="25" t="s">
        <v>48</v>
      </c>
      <c r="L1" s="25" t="s">
        <v>50</v>
      </c>
      <c r="M1" s="25" t="s">
        <v>51</v>
      </c>
      <c r="N1" s="26" t="s">
        <v>49</v>
      </c>
      <c r="O1" s="27" t="s">
        <v>52</v>
      </c>
      <c r="P1" s="28" t="s">
        <v>53</v>
      </c>
      <c r="Q1" s="28" t="s">
        <v>54</v>
      </c>
      <c r="R1" s="28" t="s">
        <v>55</v>
      </c>
    </row>
    <row r="2" spans="1:18" ht="16">
      <c r="A2" s="29" t="s">
        <v>46</v>
      </c>
      <c r="B2" s="24">
        <v>36</v>
      </c>
      <c r="C2" s="24">
        <v>33</v>
      </c>
      <c r="D2" s="24">
        <v>0.15</v>
      </c>
      <c r="E2" s="23">
        <f>工作表2!E8</f>
        <v>681.94</v>
      </c>
      <c r="F2" s="23">
        <f>(C$2^2+D$2^2)/12*E2</f>
        <v>61887.333637500007</v>
      </c>
      <c r="G2" s="23">
        <f>(B$2^2+D$2^2)/12*E2</f>
        <v>73650.798637500004</v>
      </c>
      <c r="H2" s="23">
        <f>(B2^2+C2^2)/12*E2</f>
        <v>135535.57500000001</v>
      </c>
      <c r="K2" s="29" t="s">
        <v>46</v>
      </c>
      <c r="L2" s="24">
        <v>36</v>
      </c>
      <c r="M2" s="24">
        <v>33</v>
      </c>
      <c r="N2" s="24">
        <v>0.15</v>
      </c>
      <c r="O2" s="23">
        <v>75588.990825688074</v>
      </c>
      <c r="P2" s="23">
        <v>6859842.6467889901</v>
      </c>
      <c r="Q2" s="23">
        <v>8163752.7385321092</v>
      </c>
      <c r="R2" s="23">
        <v>15023311.926605504</v>
      </c>
    </row>
    <row r="3" spans="1:18" ht="16">
      <c r="A3" s="29" t="s">
        <v>45</v>
      </c>
      <c r="B3" s="24">
        <v>36</v>
      </c>
      <c r="C3" s="24">
        <v>33</v>
      </c>
      <c r="D3" s="24">
        <v>0.15</v>
      </c>
      <c r="E3" s="23">
        <f>工作表2!E14</f>
        <v>787608</v>
      </c>
      <c r="F3" s="23">
        <f t="shared" ref="F3:F5" si="0">(C$2^2+D$2^2)/12*E3</f>
        <v>71476902.765000001</v>
      </c>
      <c r="G3" s="23">
        <f t="shared" ref="G3:G5" si="1">(B$2^2+D$2^2)/12*E3</f>
        <v>85063140.765000001</v>
      </c>
      <c r="H3" s="23">
        <f t="shared" ref="H3:H5" si="2">(B3^2+C3^2)/12*E3</f>
        <v>156537090</v>
      </c>
      <c r="K3" s="29" t="s">
        <v>45</v>
      </c>
      <c r="L3" s="24">
        <v>36</v>
      </c>
      <c r="M3" s="24">
        <v>33</v>
      </c>
      <c r="N3" s="24">
        <v>0.15</v>
      </c>
      <c r="O3" s="23">
        <v>80286.238532110088</v>
      </c>
      <c r="P3" s="23">
        <v>7286126.6834862381</v>
      </c>
      <c r="Q3" s="23">
        <v>8671064.2981651369</v>
      </c>
      <c r="R3" s="23">
        <v>15956889.908256879</v>
      </c>
    </row>
    <row r="4" spans="1:18" ht="16">
      <c r="A4" s="29" t="s">
        <v>44</v>
      </c>
      <c r="B4" s="24">
        <v>36</v>
      </c>
      <c r="C4" s="24">
        <v>33</v>
      </c>
      <c r="D4" s="24">
        <v>0.15</v>
      </c>
      <c r="E4" s="23">
        <f>工作表2!E20</f>
        <v>787608</v>
      </c>
      <c r="F4" s="23">
        <f t="shared" si="0"/>
        <v>71476902.765000001</v>
      </c>
      <c r="G4" s="23">
        <f t="shared" si="1"/>
        <v>85063140.765000001</v>
      </c>
      <c r="H4" s="23">
        <f t="shared" si="2"/>
        <v>156537090</v>
      </c>
      <c r="K4" s="29" t="s">
        <v>44</v>
      </c>
      <c r="L4" s="24">
        <v>36</v>
      </c>
      <c r="M4" s="24">
        <v>33</v>
      </c>
      <c r="N4" s="24">
        <v>0.15</v>
      </c>
      <c r="O4" s="23">
        <v>80286.238532110088</v>
      </c>
      <c r="P4" s="23">
        <v>7286126.6834862381</v>
      </c>
      <c r="Q4" s="23">
        <v>8671064.2981651369</v>
      </c>
      <c r="R4" s="23">
        <v>15956889.908256879</v>
      </c>
    </row>
    <row r="5" spans="1:18" ht="16">
      <c r="A5" s="29" t="s">
        <v>43</v>
      </c>
      <c r="B5" s="24">
        <v>36</v>
      </c>
      <c r="C5" s="24">
        <v>33</v>
      </c>
      <c r="D5" s="24">
        <v>0.15</v>
      </c>
      <c r="E5" s="23">
        <f>工作表2!E26</f>
        <v>787608</v>
      </c>
      <c r="F5" s="23">
        <f t="shared" si="0"/>
        <v>71476902.765000001</v>
      </c>
      <c r="G5" s="23">
        <f t="shared" si="1"/>
        <v>85063140.765000001</v>
      </c>
      <c r="H5" s="23">
        <f t="shared" si="2"/>
        <v>156537090</v>
      </c>
      <c r="K5" s="29" t="s">
        <v>8</v>
      </c>
      <c r="L5" s="24">
        <v>36</v>
      </c>
      <c r="M5" s="24">
        <v>33</v>
      </c>
      <c r="N5" s="24">
        <v>0.15</v>
      </c>
      <c r="O5" s="23">
        <v>80286.238532110088</v>
      </c>
      <c r="P5" s="23">
        <v>7286126.6834862381</v>
      </c>
      <c r="Q5" s="23">
        <v>8671064.2981651369</v>
      </c>
      <c r="R5" s="23">
        <v>15956889.908256879</v>
      </c>
    </row>
    <row r="6" spans="1:18">
      <c r="E6" t="s">
        <v>47</v>
      </c>
    </row>
    <row r="7" spans="1:18">
      <c r="E7">
        <f>E2/9.81</f>
        <v>69.514780835881751</v>
      </c>
      <c r="F7">
        <f>F2/9.81</f>
        <v>6308.5967010703371</v>
      </c>
      <c r="G7">
        <f t="shared" ref="G7:H7" si="3">G2/9.81</f>
        <v>7507.7266704892963</v>
      </c>
      <c r="H7">
        <f t="shared" si="3"/>
        <v>13816.062691131499</v>
      </c>
    </row>
    <row r="8" spans="1:18">
      <c r="E8">
        <f t="shared" ref="E8:H8" si="4">E3/9.81</f>
        <v>80286.238532110088</v>
      </c>
      <c r="F8">
        <f>F3/9.81</f>
        <v>7286126.6834862381</v>
      </c>
      <c r="G8">
        <f>G3/9.81</f>
        <v>8671064.2981651369</v>
      </c>
      <c r="H8">
        <f t="shared" si="4"/>
        <v>15956889.908256879</v>
      </c>
    </row>
    <row r="9" spans="1:18">
      <c r="E9">
        <f t="shared" ref="E9:H9" si="5">E4/9.81</f>
        <v>80286.238532110088</v>
      </c>
      <c r="F9">
        <f t="shared" si="5"/>
        <v>7286126.6834862381</v>
      </c>
      <c r="G9">
        <f t="shared" si="5"/>
        <v>8671064.2981651369</v>
      </c>
      <c r="H9">
        <f t="shared" si="5"/>
        <v>15956889.908256879</v>
      </c>
    </row>
    <row r="10" spans="1:18">
      <c r="E10">
        <f t="shared" ref="E10:H10" si="6">E5/9.81</f>
        <v>80286.238532110088</v>
      </c>
      <c r="F10">
        <f t="shared" si="6"/>
        <v>7286126.6834862381</v>
      </c>
      <c r="G10">
        <f t="shared" si="6"/>
        <v>8671064.2981651369</v>
      </c>
      <c r="H10">
        <f t="shared" si="6"/>
        <v>15956889.908256879</v>
      </c>
    </row>
    <row r="14" spans="1:18" ht="64">
      <c r="A14" s="25" t="s">
        <v>48</v>
      </c>
      <c r="B14" s="25" t="s">
        <v>50</v>
      </c>
      <c r="C14" s="25" t="s">
        <v>51</v>
      </c>
      <c r="D14" s="26" t="s">
        <v>49</v>
      </c>
      <c r="E14" s="27" t="s">
        <v>52</v>
      </c>
      <c r="F14" s="28" t="s">
        <v>53</v>
      </c>
      <c r="G14" s="28" t="s">
        <v>54</v>
      </c>
      <c r="H14" s="28" t="s">
        <v>55</v>
      </c>
    </row>
    <row r="15" spans="1:18" ht="16">
      <c r="A15" s="29" t="s">
        <v>6</v>
      </c>
      <c r="B15" s="24">
        <v>36</v>
      </c>
      <c r="C15" s="24">
        <v>33</v>
      </c>
      <c r="D15" s="24">
        <v>0.15</v>
      </c>
      <c r="E15" s="23">
        <f>工作表2!E21</f>
        <v>332640</v>
      </c>
      <c r="F15" s="23">
        <f>(C$2^2+D$2^2)/12*E15</f>
        <v>30187703.699999999</v>
      </c>
      <c r="G15" s="23">
        <f>(B$2^2+D$2^2)/12*E15</f>
        <v>35925743.700000003</v>
      </c>
      <c r="H15" s="23">
        <f>(B15^2+C15^2)/12*E15</f>
        <v>66112200</v>
      </c>
    </row>
    <row r="16" spans="1:18" ht="16">
      <c r="A16" s="29" t="s">
        <v>45</v>
      </c>
      <c r="B16" s="24">
        <v>36</v>
      </c>
      <c r="C16" s="24">
        <v>33</v>
      </c>
      <c r="D16" s="24">
        <v>0.15</v>
      </c>
      <c r="E16" s="23">
        <f>工作表2!E27</f>
        <v>2363505.94</v>
      </c>
      <c r="F16" s="23">
        <f t="shared" ref="F16:F18" si="7">(C$2^2+D$2^2)/12*E16</f>
        <v>214492595.62863749</v>
      </c>
      <c r="G16" s="23">
        <f t="shared" ref="G16:G18" si="8">(B$2^2+D$2^2)/12*E16</f>
        <v>255263073.0936375</v>
      </c>
      <c r="H16" s="23">
        <f t="shared" ref="H16:H18" si="9">(B16^2+C16^2)/12*E16</f>
        <v>469746805.57499999</v>
      </c>
    </row>
    <row r="17" spans="1:8" ht="16">
      <c r="A17" s="29" t="s">
        <v>39</v>
      </c>
      <c r="B17" s="24">
        <v>36</v>
      </c>
      <c r="C17" s="24">
        <v>33</v>
      </c>
      <c r="D17" s="24">
        <v>0.15</v>
      </c>
      <c r="E17" s="23">
        <f>工作表2!E33</f>
        <v>0</v>
      </c>
      <c r="F17" s="23">
        <f t="shared" si="7"/>
        <v>0</v>
      </c>
      <c r="G17" s="23">
        <f t="shared" si="8"/>
        <v>0</v>
      </c>
      <c r="H17" s="23">
        <f t="shared" si="9"/>
        <v>0</v>
      </c>
    </row>
    <row r="18" spans="1:8" ht="16">
      <c r="A18" s="29" t="s">
        <v>8</v>
      </c>
      <c r="B18" s="24">
        <v>36</v>
      </c>
      <c r="C18" s="24">
        <v>33</v>
      </c>
      <c r="D18" s="24">
        <v>0.15</v>
      </c>
      <c r="E18" s="23">
        <f>工作表2!E39</f>
        <v>0</v>
      </c>
      <c r="F18" s="23">
        <f t="shared" si="7"/>
        <v>0</v>
      </c>
      <c r="G18" s="23">
        <f t="shared" si="8"/>
        <v>0</v>
      </c>
      <c r="H18" s="2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3"/>
  <sheetViews>
    <sheetView workbookViewId="0">
      <selection activeCell="A56" sqref="A56:F61"/>
    </sheetView>
  </sheetViews>
  <sheetFormatPr baseColWidth="10" defaultColWidth="9" defaultRowHeight="16"/>
  <cols>
    <col min="1" max="1" width="9.1640625" style="30" bestFit="1" customWidth="1"/>
    <col min="2" max="2" width="17.1640625" style="30" bestFit="1" customWidth="1"/>
    <col min="3" max="3" width="26.6640625" style="30" bestFit="1" customWidth="1"/>
    <col min="4" max="4" width="17.6640625" style="30" bestFit="1" customWidth="1"/>
    <col min="5" max="5" width="15.83203125" style="30" bestFit="1" customWidth="1"/>
    <col min="6" max="6" width="17.33203125" style="30" bestFit="1" customWidth="1"/>
    <col min="7" max="7" width="18" style="30" bestFit="1" customWidth="1"/>
    <col min="8" max="8" width="11.1640625" style="30" bestFit="1" customWidth="1"/>
    <col min="9" max="9" width="12.83203125" style="30" bestFit="1" customWidth="1"/>
    <col min="10" max="16384" width="9" style="30"/>
  </cols>
  <sheetData>
    <row r="1" spans="1:8">
      <c r="A1" s="31" t="s">
        <v>56</v>
      </c>
      <c r="B1" s="31" t="s">
        <v>57</v>
      </c>
      <c r="C1" s="31" t="s">
        <v>60</v>
      </c>
      <c r="D1" s="31" t="s">
        <v>61</v>
      </c>
      <c r="E1" s="31" t="s">
        <v>62</v>
      </c>
      <c r="F1" s="31" t="s">
        <v>63</v>
      </c>
      <c r="G1" s="31" t="s">
        <v>58</v>
      </c>
    </row>
    <row r="2" spans="1:8">
      <c r="A2" s="32" t="s">
        <v>59</v>
      </c>
      <c r="B2" s="22">
        <v>284911.34164650377</v>
      </c>
      <c r="C2" s="22">
        <f>B2</f>
        <v>284911.34164650377</v>
      </c>
      <c r="D2" s="22">
        <f>C2/4</f>
        <v>71227.835411625943</v>
      </c>
      <c r="E2" s="22">
        <f>D2/2/3.75*(3.75^2+3.8^2)^0.5</f>
        <v>50702.568478087145</v>
      </c>
      <c r="F2" s="22">
        <f>E2*3.8/(3.75^2+3.8^2)^0.5*(1.5)/9</f>
        <v>6014.7949903150802</v>
      </c>
      <c r="G2" s="22">
        <f>E2*3.8/(3.75^2+3.8^2)^0.5-F2</f>
        <v>30073.974951575401</v>
      </c>
      <c r="H2" s="30">
        <f>B2/1000</f>
        <v>284.91134164650379</v>
      </c>
    </row>
    <row r="3" spans="1:8">
      <c r="A3" s="32" t="s">
        <v>39</v>
      </c>
      <c r="B3" s="22">
        <v>226962.21717674812</v>
      </c>
      <c r="C3" s="22">
        <f>C2+B3</f>
        <v>511873.55882325186</v>
      </c>
      <c r="D3" s="22">
        <f t="shared" ref="D3:D5" si="0">C3/4</f>
        <v>127968.38970581297</v>
      </c>
      <c r="E3" s="22">
        <f t="shared" ref="E3:E5" si="1">D3/2/3.75*(3.75^2+3.8^2)^0.5</f>
        <v>91092.562403356234</v>
      </c>
      <c r="F3" s="22">
        <f t="shared" ref="F3:F5" si="2">E3*3.8/(3.75^2+3.8^2)^0.5*(1.5)/9</f>
        <v>10806.219575157538</v>
      </c>
      <c r="G3" s="22">
        <f t="shared" ref="G3:G5" si="3">E3*3.8/(3.75^2+3.8^2)^0.5-F3</f>
        <v>54031.097875787687</v>
      </c>
      <c r="H3" s="30">
        <f t="shared" ref="H3:H5" si="4">B3/1000</f>
        <v>226.96221717674811</v>
      </c>
    </row>
    <row r="4" spans="1:8">
      <c r="A4" s="32" t="s">
        <v>37</v>
      </c>
      <c r="B4" s="22">
        <v>151308.14478449876</v>
      </c>
      <c r="C4" s="22">
        <f t="shared" ref="C4:C5" si="5">C3+B4</f>
        <v>663181.70360775059</v>
      </c>
      <c r="D4" s="22">
        <f t="shared" si="0"/>
        <v>165795.42590193765</v>
      </c>
      <c r="E4" s="22">
        <f t="shared" si="1"/>
        <v>118019.2250202023</v>
      </c>
      <c r="F4" s="22">
        <f t="shared" si="2"/>
        <v>14000.502631719179</v>
      </c>
      <c r="G4" s="22">
        <f t="shared" si="3"/>
        <v>70002.513158595888</v>
      </c>
      <c r="H4" s="30">
        <f t="shared" si="4"/>
        <v>151.30814478449875</v>
      </c>
    </row>
    <row r="5" spans="1:8">
      <c r="A5" s="32" t="s">
        <v>9</v>
      </c>
      <c r="B5" s="22">
        <v>75654.072392249378</v>
      </c>
      <c r="C5" s="22">
        <f t="shared" si="5"/>
        <v>738835.77599999995</v>
      </c>
      <c r="D5" s="22">
        <f t="shared" si="0"/>
        <v>184708.94399999999</v>
      </c>
      <c r="E5" s="22">
        <f t="shared" si="1"/>
        <v>131482.55632862533</v>
      </c>
      <c r="F5" s="22">
        <f t="shared" si="2"/>
        <v>15597.64416</v>
      </c>
      <c r="G5" s="22">
        <f t="shared" si="3"/>
        <v>77988.220799999996</v>
      </c>
      <c r="H5" s="30">
        <f t="shared" si="4"/>
        <v>75.654072392249375</v>
      </c>
    </row>
    <row r="8" spans="1:8">
      <c r="A8" s="110" t="s">
        <v>64</v>
      </c>
      <c r="B8" s="110"/>
      <c r="C8" s="110"/>
      <c r="D8" s="110"/>
      <c r="E8" s="110"/>
      <c r="F8" s="110"/>
      <c r="G8" s="110"/>
    </row>
    <row r="9" spans="1:8">
      <c r="A9" s="33" t="s">
        <v>40</v>
      </c>
      <c r="B9" s="33" t="s">
        <v>65</v>
      </c>
      <c r="C9" s="33" t="s">
        <v>66</v>
      </c>
      <c r="D9" s="33" t="s">
        <v>67</v>
      </c>
      <c r="E9" s="33" t="s">
        <v>68</v>
      </c>
      <c r="F9" s="33" t="s">
        <v>69</v>
      </c>
      <c r="G9" s="33" t="s">
        <v>70</v>
      </c>
    </row>
    <row r="10" spans="1:8">
      <c r="A10" s="32" t="s">
        <v>59</v>
      </c>
      <c r="B10" s="22" t="s">
        <v>71</v>
      </c>
      <c r="C10" s="22">
        <v>170940</v>
      </c>
      <c r="D10" s="22">
        <v>230977.25000000009</v>
      </c>
      <c r="E10" s="34" t="s">
        <v>72</v>
      </c>
      <c r="F10" s="22">
        <v>170940</v>
      </c>
      <c r="G10" s="35">
        <f>G2/F10/0.9</f>
        <v>0.19548103266627276</v>
      </c>
    </row>
    <row r="11" spans="1:8">
      <c r="A11" s="32" t="s">
        <v>39</v>
      </c>
      <c r="B11" s="22" t="s">
        <v>71</v>
      </c>
      <c r="C11" s="22">
        <v>170940</v>
      </c>
      <c r="D11" s="22">
        <v>230977.25000000009</v>
      </c>
      <c r="E11" s="34" t="s">
        <v>72</v>
      </c>
      <c r="F11" s="22">
        <v>170940</v>
      </c>
      <c r="G11" s="35">
        <f t="shared" ref="G11:G13" si="6">G3/F11/0.9</f>
        <v>0.3512024873951074</v>
      </c>
    </row>
    <row r="12" spans="1:8">
      <c r="A12" s="32" t="s">
        <v>37</v>
      </c>
      <c r="B12" s="22" t="s">
        <v>90</v>
      </c>
      <c r="C12" s="22">
        <v>194250</v>
      </c>
      <c r="D12" s="22">
        <v>259546.8750000002</v>
      </c>
      <c r="E12" s="34" t="s">
        <v>72</v>
      </c>
      <c r="F12" s="22">
        <v>194250</v>
      </c>
      <c r="G12" s="35">
        <f t="shared" si="6"/>
        <v>0.40041477568194417</v>
      </c>
    </row>
    <row r="13" spans="1:8">
      <c r="A13" s="32" t="s">
        <v>9</v>
      </c>
      <c r="B13" s="22" t="s">
        <v>90</v>
      </c>
      <c r="C13" s="22">
        <v>194250</v>
      </c>
      <c r="D13" s="22">
        <v>259546.8750000002</v>
      </c>
      <c r="E13" s="34" t="s">
        <v>72</v>
      </c>
      <c r="F13" s="22">
        <v>194250</v>
      </c>
      <c r="G13" s="35">
        <f t="shared" si="6"/>
        <v>0.44609306906906904</v>
      </c>
    </row>
    <row r="16" spans="1:8">
      <c r="A16" s="110" t="s">
        <v>74</v>
      </c>
      <c r="B16" s="110"/>
      <c r="C16" s="110"/>
      <c r="D16" s="110"/>
    </row>
    <row r="17" spans="1:6">
      <c r="A17" s="33" t="s">
        <v>40</v>
      </c>
      <c r="B17" s="33" t="s">
        <v>75</v>
      </c>
      <c r="C17" s="33" t="s">
        <v>76</v>
      </c>
      <c r="D17" s="33" t="s">
        <v>77</v>
      </c>
    </row>
    <row r="18" spans="1:6">
      <c r="A18" s="32" t="s">
        <v>59</v>
      </c>
      <c r="B18" s="22">
        <f>1.25*1.1*F10</f>
        <v>235042.5</v>
      </c>
      <c r="C18" s="36">
        <f>B18/2*1.5</f>
        <v>176281.875</v>
      </c>
      <c r="D18" s="36">
        <f>1.1*B18/(3.8/(3.8^2+3.75^2)^0.5)</f>
        <v>363242.75717265345</v>
      </c>
    </row>
    <row r="19" spans="1:6">
      <c r="A19" s="32" t="s">
        <v>39</v>
      </c>
      <c r="B19" s="22">
        <f t="shared" ref="B19:B21" si="7">1.25*1.1*F11</f>
        <v>235042.5</v>
      </c>
      <c r="C19" s="36">
        <f t="shared" ref="C19:C21" si="8">B19/2*1.5</f>
        <v>176281.875</v>
      </c>
      <c r="D19" s="36">
        <f t="shared" ref="D19:D21" si="9">1.1*B19/(3.8/(3.8^2+3.75^2)^0.5)</f>
        <v>363242.75717265345</v>
      </c>
    </row>
    <row r="20" spans="1:6">
      <c r="A20" s="32" t="s">
        <v>37</v>
      </c>
      <c r="B20" s="22">
        <f t="shared" si="7"/>
        <v>267093.75</v>
      </c>
      <c r="C20" s="36">
        <f t="shared" si="8"/>
        <v>200320.3125</v>
      </c>
      <c r="D20" s="36">
        <f t="shared" si="9"/>
        <v>412775.8604234698</v>
      </c>
    </row>
    <row r="21" spans="1:6">
      <c r="A21" s="32" t="s">
        <v>9</v>
      </c>
      <c r="B21" s="22">
        <f t="shared" si="7"/>
        <v>267093.75</v>
      </c>
      <c r="C21" s="36">
        <f t="shared" si="8"/>
        <v>200320.3125</v>
      </c>
      <c r="D21" s="36">
        <f t="shared" si="9"/>
        <v>412775.8604234698</v>
      </c>
    </row>
    <row r="22" spans="1:6">
      <c r="A22" s="37"/>
      <c r="B22" s="38"/>
      <c r="C22" s="39"/>
      <c r="D22" s="39"/>
    </row>
    <row r="24" spans="1:6">
      <c r="A24" s="110" t="s">
        <v>78</v>
      </c>
      <c r="B24" s="110"/>
      <c r="C24" s="110"/>
      <c r="D24" s="110"/>
      <c r="E24" s="110"/>
      <c r="F24" s="110"/>
    </row>
    <row r="25" spans="1:6">
      <c r="A25" s="33" t="s">
        <v>40</v>
      </c>
      <c r="B25" s="33" t="s">
        <v>65</v>
      </c>
      <c r="C25" s="33" t="s">
        <v>79</v>
      </c>
      <c r="D25" s="33" t="s">
        <v>80</v>
      </c>
      <c r="E25" s="33" t="s">
        <v>81</v>
      </c>
      <c r="F25" s="33" t="s">
        <v>70</v>
      </c>
    </row>
    <row r="26" spans="1:6">
      <c r="A26" s="32" t="s">
        <v>59</v>
      </c>
      <c r="B26" s="22" t="s">
        <v>93</v>
      </c>
      <c r="C26" s="22">
        <v>0.11609999999999999</v>
      </c>
      <c r="D26" s="44">
        <f>((3.75^2+3.8^2)^0.5)/C26*((3.5*10^7)/(PI()^2*2040*10^7))^0.5</f>
        <v>0.60628709354113841</v>
      </c>
      <c r="E26" s="22">
        <f>EXP(1)^(-0.419*D26^2)*3.5*10^7*(0.3^2-(0.3-0.016*2)^2)</f>
        <v>545352.50914993195</v>
      </c>
      <c r="F26" s="35">
        <f>D18/E26/0.85</f>
        <v>0.78361135785227187</v>
      </c>
    </row>
    <row r="27" spans="1:6">
      <c r="A27" s="32" t="s">
        <v>39</v>
      </c>
      <c r="B27" s="22" t="s">
        <v>93</v>
      </c>
      <c r="C27" s="22">
        <v>0.11609999999999999</v>
      </c>
      <c r="D27" s="44">
        <f t="shared" ref="D27:D29" si="10">((3.75^2+3.8^2)^0.5)/C27*((3.5*10^7)/(PI()^2*2040*10^7))^0.5</f>
        <v>0.60628709354113841</v>
      </c>
      <c r="E27" s="22">
        <f t="shared" ref="E27:E29" si="11">EXP(1)^(-0.419*D27^2)*3.5*10^7*(0.3^2-(0.3-0.016*2)^2)</f>
        <v>545352.50914993195</v>
      </c>
      <c r="F27" s="35">
        <f>D19/E27/0.85</f>
        <v>0.78361135785227187</v>
      </c>
    </row>
    <row r="28" spans="1:6">
      <c r="A28" s="32" t="s">
        <v>37</v>
      </c>
      <c r="B28" s="22" t="s">
        <v>93</v>
      </c>
      <c r="C28" s="22">
        <v>0.11609999999999999</v>
      </c>
      <c r="D28" s="44">
        <f t="shared" si="10"/>
        <v>0.60628709354113841</v>
      </c>
      <c r="E28" s="22">
        <f t="shared" si="11"/>
        <v>545352.50914993195</v>
      </c>
      <c r="F28" s="35">
        <f>D20/E28/0.85</f>
        <v>0.89046745210485434</v>
      </c>
    </row>
    <row r="29" spans="1:6">
      <c r="A29" s="32" t="s">
        <v>9</v>
      </c>
      <c r="B29" s="22" t="s">
        <v>93</v>
      </c>
      <c r="C29" s="22">
        <v>0.11609999999999999</v>
      </c>
      <c r="D29" s="44">
        <f t="shared" si="10"/>
        <v>0.60628709354113841</v>
      </c>
      <c r="E29" s="22">
        <f t="shared" si="11"/>
        <v>545352.50914993195</v>
      </c>
      <c r="F29" s="35">
        <f>D21/E29/0.85</f>
        <v>0.89046745210485434</v>
      </c>
    </row>
    <row r="30" spans="1:6">
      <c r="A30" s="37"/>
      <c r="B30" s="38"/>
      <c r="C30" s="38"/>
      <c r="D30" s="38"/>
      <c r="E30" s="38"/>
      <c r="F30" s="40"/>
    </row>
    <row r="32" spans="1:6">
      <c r="A32" s="110" t="s">
        <v>82</v>
      </c>
      <c r="B32" s="110"/>
      <c r="C32" s="110"/>
      <c r="D32" s="110"/>
    </row>
    <row r="33" spans="1:9">
      <c r="A33" s="33" t="s">
        <v>40</v>
      </c>
      <c r="B33" s="33" t="s">
        <v>75</v>
      </c>
      <c r="C33" s="33" t="s">
        <v>76</v>
      </c>
      <c r="D33" s="33" t="s">
        <v>77</v>
      </c>
    </row>
    <row r="34" spans="1:9">
      <c r="A34" s="32" t="s">
        <v>59</v>
      </c>
      <c r="B34" s="22">
        <f>1.1*1.1*F10</f>
        <v>206837.40000000002</v>
      </c>
      <c r="C34" s="36">
        <f>B34/2*1.5</f>
        <v>155128.05000000002</v>
      </c>
      <c r="D34" s="36">
        <f>1.1*B34/(3.8/3.75)</f>
        <v>224527.44078947377</v>
      </c>
    </row>
    <row r="35" spans="1:9">
      <c r="A35" s="32" t="s">
        <v>39</v>
      </c>
      <c r="B35" s="22">
        <f>1.1*1.1*F11</f>
        <v>206837.40000000002</v>
      </c>
      <c r="C35" s="36">
        <f t="shared" ref="C35:C37" si="12">B35/2*1.5</f>
        <v>155128.05000000002</v>
      </c>
      <c r="D35" s="36">
        <f t="shared" ref="D35:D37" si="13">1.1*B35/(3.8/3.75)</f>
        <v>224527.44078947377</v>
      </c>
    </row>
    <row r="36" spans="1:9">
      <c r="A36" s="32" t="s">
        <v>37</v>
      </c>
      <c r="B36" s="22">
        <f>1.1*1.1*F12</f>
        <v>235042.50000000003</v>
      </c>
      <c r="C36" s="36">
        <f t="shared" si="12"/>
        <v>176281.87500000003</v>
      </c>
      <c r="D36" s="36">
        <f t="shared" si="13"/>
        <v>255144.81907894745</v>
      </c>
    </row>
    <row r="37" spans="1:9">
      <c r="A37" s="32" t="s">
        <v>9</v>
      </c>
      <c r="B37" s="22">
        <f>1.1*1.1*F13</f>
        <v>235042.50000000003</v>
      </c>
      <c r="C37" s="36">
        <f t="shared" si="12"/>
        <v>176281.87500000003</v>
      </c>
      <c r="D37" s="36">
        <f t="shared" si="13"/>
        <v>255144.81907894745</v>
      </c>
    </row>
    <row r="38" spans="1:9">
      <c r="A38" s="37"/>
      <c r="B38" s="38"/>
      <c r="C38" s="39"/>
      <c r="D38" s="39"/>
    </row>
    <row r="40" spans="1:9">
      <c r="A40" s="110" t="s">
        <v>83</v>
      </c>
      <c r="B40" s="110"/>
      <c r="C40" s="110"/>
      <c r="D40" s="110"/>
      <c r="E40" s="110"/>
      <c r="F40" s="110"/>
      <c r="G40" s="110"/>
      <c r="H40" s="110"/>
      <c r="I40" s="110"/>
    </row>
    <row r="41" spans="1:9">
      <c r="A41" s="33" t="s">
        <v>40</v>
      </c>
      <c r="B41" s="33" t="s">
        <v>65</v>
      </c>
      <c r="C41" s="33" t="s">
        <v>79</v>
      </c>
      <c r="D41" s="33" t="s">
        <v>80</v>
      </c>
      <c r="E41" s="33" t="s">
        <v>81</v>
      </c>
      <c r="F41" s="33" t="s">
        <v>84</v>
      </c>
      <c r="G41" s="33" t="s">
        <v>85</v>
      </c>
      <c r="H41" s="33" t="s">
        <v>86</v>
      </c>
      <c r="I41" s="33" t="s">
        <v>87</v>
      </c>
    </row>
    <row r="42" spans="1:9">
      <c r="A42" s="33" t="s">
        <v>59</v>
      </c>
      <c r="B42" s="22" t="s">
        <v>71</v>
      </c>
      <c r="C42" s="22">
        <v>0.10199999999999999</v>
      </c>
      <c r="D42" s="44">
        <f>3.75/C42*((3.5*10^7)/(PI()^2*2040*10^7))^0.5</f>
        <v>0.48473029314078547</v>
      </c>
      <c r="E42" s="22">
        <f>EXP(1)^(-0.419*D42^2)*3.5*10^7*0.0369</f>
        <v>1170410.620620566</v>
      </c>
      <c r="F42" s="22">
        <f>6.599/10^3*3.5*10^7</f>
        <v>230965</v>
      </c>
      <c r="G42" s="41">
        <f>D34/E42/1.1/0.85</f>
        <v>0.20517269416290362</v>
      </c>
      <c r="H42" s="41">
        <f>8/9*C34/0.9/1.1/F42</f>
        <v>0.60305433483187687</v>
      </c>
      <c r="I42" s="35">
        <f>G42+H42</f>
        <v>0.80822702899478049</v>
      </c>
    </row>
    <row r="43" spans="1:9">
      <c r="A43" s="33" t="s">
        <v>39</v>
      </c>
      <c r="B43" s="22" t="s">
        <v>71</v>
      </c>
      <c r="C43" s="22">
        <v>0.10199999999999999</v>
      </c>
      <c r="D43" s="44">
        <f t="shared" ref="D43:D45" si="14">3.75/C43*((3.5*10^7)/(PI()^2*2040*10^7))^0.5</f>
        <v>0.48473029314078547</v>
      </c>
      <c r="E43" s="22">
        <f t="shared" ref="E43" si="15">EXP(1)^(-0.419*D43^2)*3.5*10^7*0.0369</f>
        <v>1170410.620620566</v>
      </c>
      <c r="F43" s="22">
        <f t="shared" ref="F43" si="16">6.599/10^3*3.5*10^7</f>
        <v>230965</v>
      </c>
      <c r="G43" s="41">
        <f>D35/E43/1.1/0.85</f>
        <v>0.20517269416290362</v>
      </c>
      <c r="H43" s="41">
        <f>8/9*C35/0.9/1.1/F43</f>
        <v>0.60305433483187687</v>
      </c>
      <c r="I43" s="35">
        <f t="shared" ref="I43:I45" si="17">G43+H43</f>
        <v>0.80822702899478049</v>
      </c>
    </row>
    <row r="44" spans="1:9">
      <c r="A44" s="33" t="s">
        <v>37</v>
      </c>
      <c r="B44" s="22" t="s">
        <v>73</v>
      </c>
      <c r="C44" s="22">
        <v>0.1018</v>
      </c>
      <c r="D44" s="44">
        <f t="shared" si="14"/>
        <v>0.48568261198782037</v>
      </c>
      <c r="E44" s="22">
        <f>EXP(1)^(-0.419*D44^2)*3.5*10^7*0.0413</f>
        <v>1309464.6351797369</v>
      </c>
      <c r="F44" s="22">
        <f>7.416/10^3*3.5*10^7</f>
        <v>259560.00000000003</v>
      </c>
      <c r="G44" s="41">
        <f>D36/E44/1.1/0.85</f>
        <v>0.20839215669636529</v>
      </c>
      <c r="H44" s="41">
        <f>8/9*C36/0.9/1.1/F44</f>
        <v>0.60979264053697713</v>
      </c>
      <c r="I44" s="35">
        <f t="shared" si="17"/>
        <v>0.81818479723334248</v>
      </c>
    </row>
    <row r="45" spans="1:9">
      <c r="A45" s="33" t="s">
        <v>9</v>
      </c>
      <c r="B45" s="22" t="s">
        <v>73</v>
      </c>
      <c r="C45" s="22">
        <v>0.1018</v>
      </c>
      <c r="D45" s="44">
        <f t="shared" si="14"/>
        <v>0.48568261198782037</v>
      </c>
      <c r="E45" s="22">
        <f>EXP(1)^(-0.419*D45^2)*3.5*10^7*0.0413</f>
        <v>1309464.6351797369</v>
      </c>
      <c r="F45" s="22">
        <f>7.416/10^3*3.5*10^7</f>
        <v>259560.00000000003</v>
      </c>
      <c r="G45" s="41">
        <f>D37/E45/1.1/0.85</f>
        <v>0.20839215669636529</v>
      </c>
      <c r="H45" s="41">
        <f>8/9*C37/0.9/1.1/F45</f>
        <v>0.60979264053697713</v>
      </c>
      <c r="I45" s="35">
        <f t="shared" si="17"/>
        <v>0.81818479723334248</v>
      </c>
    </row>
    <row r="48" spans="1:9">
      <c r="A48" s="110" t="s">
        <v>88</v>
      </c>
      <c r="B48" s="110"/>
      <c r="C48" s="110"/>
    </row>
    <row r="49" spans="1:9">
      <c r="A49" s="33" t="s">
        <v>40</v>
      </c>
      <c r="B49" s="33" t="s">
        <v>75</v>
      </c>
      <c r="C49" s="33" t="s">
        <v>77</v>
      </c>
    </row>
    <row r="50" spans="1:9">
      <c r="A50" s="32" t="s">
        <v>59</v>
      </c>
      <c r="B50" s="22">
        <f>1.1*1.1*F10</f>
        <v>206837.40000000002</v>
      </c>
      <c r="C50" s="36">
        <f>-0.1*B50</f>
        <v>-20683.740000000005</v>
      </c>
    </row>
    <row r="51" spans="1:9">
      <c r="A51" s="32" t="s">
        <v>39</v>
      </c>
      <c r="B51" s="22">
        <f>1.1*1.1*F11</f>
        <v>206837.40000000002</v>
      </c>
      <c r="C51" s="36">
        <f>B51+C50</f>
        <v>186153.66000000003</v>
      </c>
    </row>
    <row r="52" spans="1:9">
      <c r="A52" s="32" t="s">
        <v>37</v>
      </c>
      <c r="B52" s="22">
        <f>1.1*1.1*F12</f>
        <v>235042.50000000003</v>
      </c>
      <c r="C52" s="36">
        <f>B50+B51-B52*0.1</f>
        <v>390170.55000000005</v>
      </c>
    </row>
    <row r="53" spans="1:9">
      <c r="A53" s="32" t="s">
        <v>9</v>
      </c>
      <c r="B53" s="22">
        <f>1.1*1.1*F13</f>
        <v>235042.50000000003</v>
      </c>
      <c r="C53" s="36">
        <f>B50+B51+B52-B53*0.1</f>
        <v>625213.05000000005</v>
      </c>
    </row>
    <row r="54" spans="1:9">
      <c r="A54" s="37"/>
      <c r="B54" s="38"/>
      <c r="C54" s="39"/>
    </row>
    <row r="56" spans="1:9">
      <c r="A56" s="110" t="s">
        <v>89</v>
      </c>
      <c r="B56" s="110"/>
      <c r="C56" s="110"/>
      <c r="D56" s="110"/>
      <c r="E56" s="110"/>
      <c r="F56" s="110"/>
      <c r="G56" s="42"/>
      <c r="H56" s="42"/>
      <c r="I56" s="42"/>
    </row>
    <row r="57" spans="1:9">
      <c r="A57" s="33" t="s">
        <v>40</v>
      </c>
      <c r="B57" s="33" t="s">
        <v>65</v>
      </c>
      <c r="C57" s="33" t="s">
        <v>79</v>
      </c>
      <c r="D57" s="33" t="s">
        <v>80</v>
      </c>
      <c r="E57" s="33" t="s">
        <v>81</v>
      </c>
      <c r="F57" s="33" t="s">
        <v>87</v>
      </c>
      <c r="G57" s="38"/>
    </row>
    <row r="58" spans="1:9">
      <c r="A58" s="33" t="s">
        <v>59</v>
      </c>
      <c r="B58" s="22" t="s">
        <v>91</v>
      </c>
      <c r="C58" s="22">
        <v>7.3899999999999993E-2</v>
      </c>
      <c r="D58" s="44">
        <f>3.8/C58*((3.5*10^7)/(PI()^2*2040*10^7))^0.5</f>
        <v>0.67796648307214591</v>
      </c>
      <c r="E58" s="22">
        <f>EXP(1)^(-0.419*D58^2)*3.5*10^7*0.0132</f>
        <v>381067.42871513253</v>
      </c>
      <c r="F58" s="35">
        <f>C50/E58/0.85</f>
        <v>-6.3856971053006639E-2</v>
      </c>
      <c r="G58" s="38"/>
      <c r="H58" s="38"/>
      <c r="I58" s="38"/>
    </row>
    <row r="59" spans="1:9">
      <c r="A59" s="33" t="s">
        <v>39</v>
      </c>
      <c r="B59" s="22" t="s">
        <v>91</v>
      </c>
      <c r="C59" s="22">
        <v>7.3899999999999993E-2</v>
      </c>
      <c r="D59" s="44">
        <f t="shared" ref="D59:D61" si="18">3.8/C59*((3.5*10^7)/(PI()^2*2040*10^7))^0.5</f>
        <v>0.67796648307214591</v>
      </c>
      <c r="E59" s="22">
        <f t="shared" ref="E59" si="19">EXP(1)^(-0.419*D59^2)*3.5*10^7*0.0132</f>
        <v>381067.42871513253</v>
      </c>
      <c r="F59" s="35">
        <f>C51/E59/0.85</f>
        <v>0.5747127394770597</v>
      </c>
      <c r="G59" s="38"/>
      <c r="H59" s="38"/>
      <c r="I59" s="38"/>
    </row>
    <row r="60" spans="1:9">
      <c r="A60" s="33" t="s">
        <v>37</v>
      </c>
      <c r="B60" s="22" t="s">
        <v>92</v>
      </c>
      <c r="C60" s="22">
        <v>0.10100000000000001</v>
      </c>
      <c r="D60" s="44">
        <f t="shared" si="18"/>
        <v>0.49605666434684731</v>
      </c>
      <c r="E60" s="22">
        <f>EXP(1)^(-0.419*D60^2)*3.5*10^7*0.0419</f>
        <v>1322831.2839841936</v>
      </c>
      <c r="F60" s="35">
        <f>C52/E60/0.85</f>
        <v>0.34700130094298037</v>
      </c>
      <c r="G60" s="38"/>
      <c r="H60" s="38"/>
      <c r="I60" s="38"/>
    </row>
    <row r="61" spans="1:9">
      <c r="A61" s="33" t="s">
        <v>9</v>
      </c>
      <c r="B61" s="22" t="s">
        <v>92</v>
      </c>
      <c r="C61" s="22">
        <v>0.10100000000000001</v>
      </c>
      <c r="D61" s="44">
        <f t="shared" si="18"/>
        <v>0.49605666434684731</v>
      </c>
      <c r="E61" s="22">
        <f>EXP(1)^(-0.419*D61^2)*3.5*10^7*0.0419</f>
        <v>1322831.2839841936</v>
      </c>
      <c r="F61" s="35">
        <f>C53/E61/0.85</f>
        <v>0.55603822922188417</v>
      </c>
      <c r="G61" s="38"/>
      <c r="H61" s="38"/>
      <c r="I61" s="38"/>
    </row>
    <row r="62" spans="1:9">
      <c r="A62" s="38"/>
      <c r="B62" s="38"/>
      <c r="C62" s="38"/>
      <c r="D62" s="38"/>
      <c r="E62" s="38"/>
      <c r="F62" s="38"/>
      <c r="G62" s="38"/>
      <c r="H62" s="38"/>
      <c r="I62" s="38"/>
    </row>
    <row r="63" spans="1:9">
      <c r="A63" s="38"/>
      <c r="B63" s="38"/>
      <c r="C63" s="38"/>
      <c r="D63" s="38"/>
      <c r="E63" s="38"/>
      <c r="F63" s="38"/>
      <c r="G63" s="38"/>
      <c r="H63" s="38"/>
      <c r="I63" s="38"/>
    </row>
  </sheetData>
  <mergeCells count="7">
    <mergeCell ref="A56:F56"/>
    <mergeCell ref="A8:G8"/>
    <mergeCell ref="A16:D16"/>
    <mergeCell ref="A24:F24"/>
    <mergeCell ref="A32:D32"/>
    <mergeCell ref="A40:I40"/>
    <mergeCell ref="A48:C4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質量</vt:lpstr>
      <vt:lpstr>Lateral Force</vt:lpstr>
      <vt:lpstr>mass of inertia</vt:lpstr>
      <vt:lpstr>工作表10</vt:lpstr>
      <vt:lpstr>工作表7</vt:lpstr>
      <vt:lpstr>工作表2</vt:lpstr>
      <vt:lpstr>工作表8</vt:lpstr>
      <vt:lpstr>工作表3</vt:lpstr>
      <vt:lpstr>工作表4</vt:lpstr>
      <vt:lpstr>工作表6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 ran</cp:lastModifiedBy>
  <dcterms:created xsi:type="dcterms:W3CDTF">2017-05-10T12:01:32Z</dcterms:created>
  <dcterms:modified xsi:type="dcterms:W3CDTF">2018-05-18T09:48:02Z</dcterms:modified>
</cp:coreProperties>
</file>