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<sst xmlns="http://schemas.openxmlformats.org/spreadsheetml/2006/main" count="24" uniqueCount="24">
  <si>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>company</t>
  </si>
  <si>
    <t>price</t>
  </si>
  <si>
    <t>market cap</t>
  </si>
  <si>
    <t>EV(enterprice value)</t>
  </si>
  <si>
    <t>sales</t>
  </si>
  <si>
    <t>EBITDA</t>
  </si>
  <si>
    <t>EBIT</t>
  </si>
  <si>
    <t>earnings</t>
  </si>
  <si>
    <t>EV/sales</t>
  </si>
  <si>
    <t>EV/ebitda</t>
  </si>
  <si>
    <t>EV/ebit</t>
  </si>
  <si>
    <t>P/E</t>
  </si>
  <si>
    <t>GM</t>
  </si>
  <si>
    <t>Ford</t>
  </si>
  <si>
    <t>Toyota</t>
  </si>
  <si>
    <t>Volkswagen</t>
  </si>
  <si>
    <t>Tesla</t>
  </si>
  <si>
    <t>Average</t>
  </si>
  <si>
    <t>Difference(divide)</t>
  </si>
  <si>
    <t>EBIDTA=earnings before interest, tax, depreciation and acclimatization</t>
  </si>
  <si>
    <t>net debt = long term debt + current debt - cash and cash equivalents</t>
  </si>
  <si>
    <t>downside=avg/price</t>
  </si>
  <si>
    <t>STRONG SELL</t>
  </si>
  <si>
    <t>EV/sales=how many years to cover total value of company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</si>
</sst>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7">
    <font>
      <sz val="10.0"/>
      <color rgb="FF000000"/>
      <name val="Arial"/>
    </font>
    <font>
      <color theme="1"/>
      <name val="Arial"/>
    </font>
    <font/>
    <font>
      <b/>
    </font>
    <font>
      <sz val="11.0"/>
      <color rgb="FF000000"/>
      <name val="Inconsolata"/>
    </font>
    <font>
      <color rgb="FF000000"/>
      <name val="Arial"/>
    </font>
    <font>
      <b/>
      <color rgb="FFFF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2" xfId="0" applyAlignment="1" applyFont="1" applyNumberFormat="1">
      <alignment readingOrder="0"/>
    </xf>
    <xf borderId="0" fillId="0" fontId="1" numFmtId="165" xfId="0" applyFont="1" applyNumberFormat="1"/>
    <xf borderId="0" fillId="0" fontId="1" numFmtId="164" xfId="0" applyFont="1" applyNumberFormat="1"/>
    <xf borderId="0" fillId="0" fontId="1" numFmtId="2" xfId="0" applyFont="1" applyNumberFormat="1"/>
    <xf borderId="0" fillId="0" fontId="1" numFmtId="164" xfId="0" applyAlignment="1" applyFont="1" applyNumberFormat="1">
      <alignment readingOrder="0"/>
    </xf>
    <xf borderId="0" fillId="0" fontId="2" numFmtId="2" xfId="0" applyFont="1" applyNumberFormat="1"/>
    <xf borderId="0" fillId="2" fontId="4" numFmtId="164" xfId="0" applyAlignment="1" applyFill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5" numFmtId="164" xfId="0" applyAlignment="1" applyFont="1" applyNumberFormat="1">
      <alignment horizontal="right" readingOrder="0"/>
    </xf>
    <xf borderId="0" fillId="0" fontId="2" numFmtId="164" xfId="0" applyFont="1" applyNumberFormat="1"/>
    <xf borderId="0" fillId="0" fontId="1" numFmtId="10" xfId="0" applyFont="1" applyNumberForma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71"/>
    <col customWidth="1" min="4" max="4" width="22.29"/>
    <col customWidth="1" min="5" max="5" width="20.14"/>
    <col customWidth="1" min="6" max="7" width="17.43"/>
    <col customWidth="1" min="8" max="8" width="17.0"/>
    <col customWidth="1" min="11" max="11" width="20.71"/>
    <col customWidth="1" min="13" max="13" width="20.57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>
      <c r="A2" s="1" t="s">
        <v>12</v>
      </c>
      <c r="B2" s="5">
        <f>IFERROR(__xludf.DUMMYFUNCTION("GOOGLEFINANCE(""NYSE:GM"",""price"")"),58.96)</f>
        <v>58.96</v>
      </c>
      <c r="C2" s="6">
        <f>IFERROR(__xludf.DUMMYFUNCTION("GOOGLEFINANCE(""NYSE:GM"",""marketcap"")"),8.5531501871E10)</f>
        <v>85531501871</v>
      </c>
      <c r="D2" s="6">
        <f>C2+89638000000</f>
        <v>175169501871</v>
      </c>
      <c r="E2" s="2">
        <v>1.2225E11</v>
      </c>
      <c r="F2" s="2">
        <v>2.1716E10</v>
      </c>
      <c r="G2" s="2">
        <v>9.254E9</v>
      </c>
      <c r="H2" s="2">
        <v>8.976E9</v>
      </c>
      <c r="I2" s="7">
        <f t="shared" ref="I2:I6" si="1">D2/E2</f>
        <v>1.432879361</v>
      </c>
      <c r="J2" s="7">
        <f t="shared" ref="J2:J6" si="2">D2/F2</f>
        <v>8.066379714</v>
      </c>
      <c r="K2" s="7">
        <f>D2/G2</f>
        <v>18.92905791</v>
      </c>
      <c r="L2" s="7">
        <f t="shared" ref="L2:L6" si="3">C2/H2</f>
        <v>9.528910636</v>
      </c>
    </row>
    <row r="3">
      <c r="A3" s="1" t="s">
        <v>13</v>
      </c>
      <c r="B3" s="5">
        <f>IFERROR(__xludf.DUMMYFUNCTION("GOOGLEFINANCE(""NYSE:F"",""price"")"),14.93)</f>
        <v>14.93</v>
      </c>
      <c r="C3" s="6">
        <f>IFERROR(__xludf.DUMMYFUNCTION("GOOGLEFINANCE(""NYSE:F"",""marketcap"")"),5.8537425756E10)</f>
        <v>58537425756</v>
      </c>
      <c r="D3" s="8">
        <f>C3+130846000000</f>
        <v>189383425756</v>
      </c>
      <c r="E3" s="2">
        <v>1.29052E11</v>
      </c>
      <c r="F3" s="2">
        <v>6.671E9</v>
      </c>
      <c r="G3" s="2">
        <v>-3.86E8</v>
      </c>
      <c r="H3" s="3">
        <v>3.976E9</v>
      </c>
      <c r="I3" s="7">
        <f t="shared" si="1"/>
        <v>1.467497023</v>
      </c>
      <c r="J3" s="7">
        <f t="shared" si="2"/>
        <v>28.38906097</v>
      </c>
      <c r="K3" s="9"/>
      <c r="L3" s="7">
        <f t="shared" si="3"/>
        <v>14.72269259</v>
      </c>
    </row>
    <row r="4">
      <c r="A4" s="1" t="s">
        <v>14</v>
      </c>
      <c r="B4" s="5">
        <f>IFERROR(__xludf.DUMMYFUNCTION("GOOGLEFINANCE(""NYSE:TM"",""price"")"),176.03)</f>
        <v>176.03</v>
      </c>
      <c r="C4" s="6">
        <f>IFERROR(__xludf.DUMMYFUNCTION("GOOGLEFINANCE(""NYSE:TM"",""marketcap"")*GOOGLEFINANCE(""CURRENCY:JPYUSD"")"),2.5706753813687096E9)</f>
        <v>2570675381</v>
      </c>
      <c r="D4" s="8">
        <f>IFERROR(__xludf.DUMMYFUNCTION("(20197886000000*GOOGLEFINANCE(""CURRENCY:JPYUSD"")+C4)"),1.8444350936689673E11)</f>
        <v>184443509367</v>
      </c>
      <c r="E4" s="10">
        <f>IFERROR(__xludf.DUMMYFUNCTION("27214593000000*GOOGLEFINANCE(""CURRENCY:JPYUSD"")"),2.4505510896896402E11)</f>
        <v>245055108969</v>
      </c>
      <c r="F4" s="2">
        <v>3.6335E10</v>
      </c>
      <c r="G4" s="2">
        <v>2.0659E10</v>
      </c>
      <c r="H4" s="6">
        <f>IFERROR(__xludf.DUMMYFUNCTION("2257830000000*GOOGLEFINANCE(""CURRENCY:JPYUSD"")"),2.0330738610840004E10)</f>
        <v>20330738611</v>
      </c>
      <c r="I4" s="7">
        <f t="shared" si="1"/>
        <v>0.7526613509</v>
      </c>
      <c r="J4" s="7">
        <f t="shared" si="2"/>
        <v>5.07619401</v>
      </c>
      <c r="K4" s="7">
        <f t="shared" ref="K4:K6" si="4">D4/G4</f>
        <v>8.927997936</v>
      </c>
      <c r="L4" s="7">
        <f t="shared" si="3"/>
        <v>0.1264427934</v>
      </c>
    </row>
    <row r="5">
      <c r="A5" s="11" t="s">
        <v>15</v>
      </c>
      <c r="B5" s="5">
        <f>IFERROR(__xludf.DUMMYFUNCTION("GOOGLEFINANCE(""ETR:VOW3"",""price"")*GOOGLEFINANCE(""CURRENCY:EURUSD"")"),250.76656365)</f>
        <v>250.7665637</v>
      </c>
      <c r="C5" s="6">
        <f>IFERROR(__xludf.DUMMYFUNCTION("GOOGLEFINANCE(""ETR:VOW3"",""marketcap"")*GOOGLEFINANCE(""CURRENCY:EURUSD"")"),1.4955509685666998E11)</f>
        <v>149555096857</v>
      </c>
      <c r="D5" s="6">
        <f>C5+132886000000</f>
        <v>282441096857</v>
      </c>
      <c r="E5" s="2">
        <v>2.00004E11</v>
      </c>
      <c r="F5" s="2">
        <v>4.7029E10</v>
      </c>
      <c r="G5" s="2">
        <v>1.5857E10</v>
      </c>
      <c r="H5" s="2">
        <v>1.1173E10</v>
      </c>
      <c r="I5" s="7">
        <f t="shared" si="1"/>
        <v>1.412177241</v>
      </c>
      <c r="J5" s="7">
        <f t="shared" si="2"/>
        <v>6.005679408</v>
      </c>
      <c r="K5" s="7">
        <f t="shared" si="4"/>
        <v>17.81176117</v>
      </c>
      <c r="L5" s="7">
        <f t="shared" si="3"/>
        <v>13.38540203</v>
      </c>
    </row>
    <row r="6">
      <c r="A6" s="12" t="s">
        <v>16</v>
      </c>
      <c r="B6" s="5">
        <f>IFERROR(__xludf.DUMMYFUNCTION("GOOGLEFINANCE(""NASDAQ:TSLA"",""price"")"),678.9)</f>
        <v>678.9</v>
      </c>
      <c r="C6" s="6">
        <f>IFERROR(__xludf.DUMMYFUNCTION("GOOGLEFINANCE(""NASDAQ:TSLA"",""marketcap"")"),6.54005032078E11)</f>
        <v>654005032078</v>
      </c>
      <c r="D6" s="8">
        <f>C6-7707000000</f>
        <v>646298032078</v>
      </c>
      <c r="E6" s="13">
        <v>3.594E10</v>
      </c>
      <c r="F6" s="2">
        <v>4.875E9</v>
      </c>
      <c r="G6" s="2">
        <v>2.305E9</v>
      </c>
      <c r="H6" s="2">
        <v>1.112E9</v>
      </c>
      <c r="I6" s="7">
        <f t="shared" si="1"/>
        <v>17.98269427</v>
      </c>
      <c r="J6" s="7">
        <f t="shared" si="2"/>
        <v>132.5739553</v>
      </c>
      <c r="K6" s="7">
        <f t="shared" si="4"/>
        <v>280.3896018</v>
      </c>
      <c r="L6" s="7">
        <f t="shared" si="3"/>
        <v>588.1340217</v>
      </c>
    </row>
    <row r="7">
      <c r="D7" s="14"/>
      <c r="E7" s="14"/>
      <c r="F7" s="14"/>
      <c r="G7" s="14"/>
      <c r="H7" s="14"/>
    </row>
    <row r="8">
      <c r="A8" s="1" t="s">
        <v>17</v>
      </c>
      <c r="I8" s="7">
        <f t="shared" ref="I8:L8" si="5">AVERAGE(I2:I5)</f>
        <v>1.266303744</v>
      </c>
      <c r="J8" s="7">
        <f t="shared" si="5"/>
        <v>11.88432853</v>
      </c>
      <c r="K8" s="7">
        <f t="shared" si="5"/>
        <v>15.222939</v>
      </c>
      <c r="L8" s="7">
        <f t="shared" si="5"/>
        <v>9.440862013</v>
      </c>
    </row>
    <row r="9">
      <c r="A9" s="11" t="s">
        <v>18</v>
      </c>
      <c r="I9" s="7">
        <f t="shared" ref="I9:L9" si="6">I6/I8</f>
        <v>14.20093272</v>
      </c>
      <c r="J9" s="7">
        <f t="shared" si="6"/>
        <v>11.15535935</v>
      </c>
      <c r="K9" s="7">
        <f t="shared" si="6"/>
        <v>18.41888755</v>
      </c>
      <c r="L9" s="7">
        <f t="shared" si="6"/>
        <v>62.29664419</v>
      </c>
    </row>
    <row r="10">
      <c r="I10" s="5">
        <f t="shared" ref="I10:L10" si="7">$B$6/I9</f>
        <v>47.80671899</v>
      </c>
      <c r="J10" s="5">
        <f t="shared" si="7"/>
        <v>60.85864013</v>
      </c>
      <c r="K10" s="5">
        <f t="shared" si="7"/>
        <v>36.85890356</v>
      </c>
      <c r="L10" s="5">
        <f t="shared" si="7"/>
        <v>10.89785829</v>
      </c>
    </row>
    <row r="11">
      <c r="D11" s="1" t="s">
        <v>19</v>
      </c>
      <c r="I11" s="11"/>
    </row>
    <row r="12">
      <c r="L12" s="5">
        <f>AVERAGE(I10:L10)</f>
        <v>39.10553024</v>
      </c>
      <c r="M12" s="5">
        <f>IFERROR(__xludf.DUMMYFUNCTION("L12*GOOGLEFINANCE(""NASDAQ:TSLA"",""shares"")"),3.767153044724433E10)</f>
        <v>37671530447</v>
      </c>
    </row>
    <row r="13">
      <c r="D13" s="1" t="s">
        <v>20</v>
      </c>
      <c r="K13" s="1" t="s">
        <v>21</v>
      </c>
      <c r="L13" s="15">
        <f>L12/B6-1</f>
        <v>-0.9423986887</v>
      </c>
      <c r="M13" s="16" t="s">
        <v>22</v>
      </c>
    </row>
    <row r="14">
      <c r="D14" s="1" t="s">
        <v>23</v>
      </c>
    </row>
  </sheetData>
  <drawing r:id="rId1"/>
</worksheet>
</file>